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8\BANGTINH\5574-2018\"/>
    </mc:Choice>
  </mc:AlternateContent>
  <xr:revisionPtr revIDLastSave="0" documentId="13_ncr:1_{9AD1CE99-1EB5-4563-9807-74A9564D2B1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DaTa" sheetId="1" r:id="rId1"/>
    <sheet name="TinhToan" sheetId="2" r:id="rId2"/>
  </sheets>
  <definedNames>
    <definedName name="_xlnm._FilterDatabase" localSheetId="0" hidden="1">DaTa!$S$1:$S$3</definedName>
    <definedName name="_xlnm.Print_Area" localSheetId="1">TinhToan!$A$1:$P$86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5" i="2" l="1"/>
  <c r="M81" i="2"/>
  <c r="M79" i="2"/>
  <c r="M76" i="2"/>
  <c r="N50" i="2"/>
  <c r="J19" i="2"/>
  <c r="K50" i="2" s="1"/>
  <c r="M37" i="2"/>
  <c r="M33" i="2"/>
  <c r="F52" i="2"/>
  <c r="C52" i="2"/>
  <c r="B39" i="2"/>
  <c r="E37" i="2"/>
  <c r="J18" i="2"/>
  <c r="B19" i="2"/>
  <c r="B17" i="2"/>
  <c r="K11" i="2"/>
  <c r="J85" i="2"/>
  <c r="E9" i="2"/>
  <c r="F39" i="2"/>
  <c r="J16" i="2"/>
  <c r="J23" i="2" s="1"/>
  <c r="L51" i="2" s="1"/>
  <c r="J15" i="2"/>
  <c r="B16" i="2"/>
  <c r="B15" i="2"/>
  <c r="M28" i="2"/>
  <c r="P28" i="2"/>
  <c r="P27" i="2"/>
  <c r="E28" i="2"/>
  <c r="M46" i="2" l="1"/>
  <c r="E48" i="2"/>
  <c r="C28" i="2"/>
  <c r="K28" i="2"/>
  <c r="M11" i="2"/>
  <c r="B22" i="2" l="1"/>
  <c r="F53" i="2" s="1"/>
  <c r="H28" i="2" l="1"/>
  <c r="T60" i="2" l="1"/>
  <c r="J34" i="2"/>
  <c r="B76" i="2"/>
  <c r="U60" i="2" l="1"/>
  <c r="S60" i="2"/>
  <c r="R60" i="2"/>
  <c r="B30" i="2"/>
  <c r="H27" i="2"/>
  <c r="Q24" i="1" l="1"/>
  <c r="Q23" i="1"/>
  <c r="Q22" i="1"/>
  <c r="Q21" i="1"/>
  <c r="P24" i="1"/>
  <c r="P23" i="1"/>
  <c r="P22" i="1"/>
  <c r="P21" i="1"/>
  <c r="O24" i="1"/>
  <c r="O23" i="1"/>
  <c r="O22" i="1"/>
  <c r="O21" i="1"/>
  <c r="Q20" i="1"/>
  <c r="P20" i="1"/>
  <c r="O20" i="1"/>
  <c r="J15" i="1" l="1"/>
  <c r="J12" i="1"/>
  <c r="J11" i="1"/>
  <c r="J10" i="1"/>
  <c r="J9" i="1"/>
  <c r="J8" i="1"/>
  <c r="B10" i="2" s="1"/>
  <c r="J7" i="1"/>
  <c r="B9" i="2" s="1"/>
  <c r="M31" i="2" l="1"/>
  <c r="G30" i="2"/>
  <c r="D30" i="2" s="1"/>
  <c r="B31" i="2" s="1"/>
  <c r="J26" i="1"/>
  <c r="J25" i="1"/>
  <c r="J24" i="1"/>
  <c r="E10" i="2" s="1"/>
  <c r="J23" i="1"/>
  <c r="J22" i="1"/>
  <c r="E41" i="2" l="1"/>
  <c r="E43" i="2" s="1"/>
  <c r="M39" i="2"/>
  <c r="M41" i="2" s="1"/>
  <c r="M72" i="2"/>
  <c r="O34" i="2"/>
  <c r="L34" i="2" s="1"/>
  <c r="J35" i="2" s="1"/>
  <c r="E8" i="2"/>
  <c r="B8" i="2"/>
  <c r="O11" i="2" s="1"/>
  <c r="J19" i="1"/>
  <c r="J18" i="1"/>
  <c r="J17" i="1"/>
  <c r="J16" i="1"/>
  <c r="B11" i="2"/>
  <c r="M44" i="2" l="1"/>
  <c r="P42" i="2"/>
  <c r="E11" i="2"/>
  <c r="N11" i="2" s="1"/>
  <c r="P11" i="2" s="1"/>
  <c r="L53" i="2" l="1"/>
  <c r="U56" i="2" s="1"/>
  <c r="M83" i="2"/>
  <c r="B20" i="2"/>
  <c r="E44" i="2" s="1"/>
  <c r="J20" i="2"/>
  <c r="E45" i="2" l="1"/>
  <c r="H44" i="2" s="1"/>
  <c r="D39" i="2"/>
  <c r="H39" i="2" s="1"/>
  <c r="I53" i="2"/>
  <c r="S56" i="2"/>
  <c r="V56" i="2" s="1"/>
  <c r="W56" i="2" s="1"/>
  <c r="E46" i="2"/>
  <c r="E67" i="2" s="1"/>
  <c r="X56" i="2" l="1"/>
  <c r="M54" i="2" s="1"/>
  <c r="Y56" i="2"/>
  <c r="F55" i="2"/>
  <c r="U52" i="2" s="1"/>
  <c r="S63" i="2" l="1"/>
  <c r="M56" i="2"/>
  <c r="M68" i="2" s="1"/>
  <c r="C55" i="2"/>
  <c r="T52" i="2" s="1"/>
  <c r="A55" i="2"/>
  <c r="S52" i="2" s="1"/>
  <c r="V52" i="2" l="1"/>
  <c r="W52" i="2" s="1"/>
  <c r="X52" i="2" l="1"/>
  <c r="Y52" i="2"/>
  <c r="E56" i="2" l="1"/>
  <c r="E58" i="2" s="1"/>
  <c r="E70" i="2" s="1"/>
  <c r="R63" i="2" l="1"/>
  <c r="E60" i="2" l="1"/>
  <c r="M58" i="2"/>
  <c r="M60" i="2" s="1"/>
  <c r="M63" i="2" s="1"/>
  <c r="M70" i="2" s="1"/>
  <c r="O85" i="2" l="1"/>
  <c r="L85" i="2" s="1"/>
  <c r="J86" i="2" s="1"/>
  <c r="E62" i="2"/>
  <c r="E65" i="2" s="1"/>
  <c r="E72" i="2" s="1"/>
  <c r="G76" i="2" l="1"/>
  <c r="D76" i="2" s="1"/>
  <c r="B78" i="2" s="1"/>
</calcChain>
</file>

<file path=xl/sharedStrings.xml><?xml version="1.0" encoding="utf-8"?>
<sst xmlns="http://schemas.openxmlformats.org/spreadsheetml/2006/main" count="400" uniqueCount="214">
  <si>
    <t>CONCRETE</t>
  </si>
  <si>
    <t>NAME</t>
  </si>
  <si>
    <r>
      <t>(daN/cm</t>
    </r>
    <r>
      <rPr>
        <i/>
        <vertAlign val="superscript"/>
        <sz val="10"/>
        <color theme="1"/>
        <rFont val="Arial"/>
        <family val="2"/>
      </rPr>
      <t>2</t>
    </r>
    <r>
      <rPr>
        <i/>
        <sz val="10"/>
        <color theme="1"/>
        <rFont val="Arial"/>
        <family val="2"/>
      </rPr>
      <t>)</t>
    </r>
  </si>
  <si>
    <t>Concrete</t>
  </si>
  <si>
    <r>
      <t>R</t>
    </r>
    <r>
      <rPr>
        <b/>
        <vertAlign val="subscript"/>
        <sz val="10"/>
        <color theme="1"/>
        <rFont val="Arial"/>
        <family val="2"/>
      </rPr>
      <t>b</t>
    </r>
    <r>
      <rPr>
        <b/>
        <sz val="10"/>
        <color theme="1"/>
        <rFont val="Arial"/>
        <family val="2"/>
      </rPr>
      <t xml:space="preserve"> = </t>
    </r>
  </si>
  <si>
    <t>B5</t>
  </si>
  <si>
    <r>
      <t>R</t>
    </r>
    <r>
      <rPr>
        <b/>
        <vertAlign val="subscript"/>
        <sz val="10"/>
        <color theme="1"/>
        <rFont val="Arial"/>
        <family val="2"/>
      </rPr>
      <t>bt</t>
    </r>
    <r>
      <rPr>
        <b/>
        <sz val="10"/>
        <color theme="1"/>
        <rFont val="Arial"/>
        <family val="2"/>
      </rPr>
      <t xml:space="preserve"> = </t>
    </r>
  </si>
  <si>
    <r>
      <t>R</t>
    </r>
    <r>
      <rPr>
        <b/>
        <vertAlign val="subscript"/>
        <sz val="10"/>
        <color theme="1"/>
        <rFont val="Arial"/>
        <family val="2"/>
      </rPr>
      <t>b,ser</t>
    </r>
    <r>
      <rPr>
        <b/>
        <sz val="10"/>
        <color theme="1"/>
        <rFont val="Arial"/>
        <family val="2"/>
      </rPr>
      <t xml:space="preserve"> = </t>
    </r>
  </si>
  <si>
    <t>B10</t>
  </si>
  <si>
    <r>
      <t>R</t>
    </r>
    <r>
      <rPr>
        <b/>
        <vertAlign val="subscript"/>
        <sz val="10"/>
        <color theme="1"/>
        <rFont val="Arial"/>
        <family val="2"/>
      </rPr>
      <t>bt,ser</t>
    </r>
    <r>
      <rPr>
        <b/>
        <sz val="10"/>
        <color theme="1"/>
        <rFont val="Arial"/>
        <family val="2"/>
      </rPr>
      <t xml:space="preserve"> = </t>
    </r>
  </si>
  <si>
    <r>
      <t>E</t>
    </r>
    <r>
      <rPr>
        <b/>
        <vertAlign val="subscript"/>
        <sz val="10"/>
        <color theme="1"/>
        <rFont val="Arial"/>
        <family val="2"/>
      </rPr>
      <t>b</t>
    </r>
    <r>
      <rPr>
        <b/>
        <sz val="10"/>
        <color theme="1"/>
        <rFont val="Arial"/>
        <family val="2"/>
      </rPr>
      <t xml:space="preserve"> = </t>
    </r>
  </si>
  <si>
    <t>B15</t>
  </si>
  <si>
    <t>B20</t>
  </si>
  <si>
    <t>Steel</t>
  </si>
  <si>
    <r>
      <t>R</t>
    </r>
    <r>
      <rPr>
        <b/>
        <vertAlign val="subscript"/>
        <sz val="10"/>
        <color theme="1"/>
        <rFont val="Arial"/>
        <family val="2"/>
      </rPr>
      <t>s</t>
    </r>
    <r>
      <rPr>
        <b/>
        <sz val="10"/>
        <color theme="1"/>
        <rFont val="Arial"/>
        <family val="2"/>
      </rPr>
      <t xml:space="preserve"> = </t>
    </r>
  </si>
  <si>
    <t>B25</t>
  </si>
  <si>
    <r>
      <t>R</t>
    </r>
    <r>
      <rPr>
        <b/>
        <vertAlign val="subscript"/>
        <sz val="10"/>
        <color theme="1"/>
        <rFont val="Arial"/>
        <family val="2"/>
      </rPr>
      <t>sc</t>
    </r>
    <r>
      <rPr>
        <b/>
        <sz val="10"/>
        <color theme="1"/>
        <rFont val="Arial"/>
        <family val="2"/>
      </rPr>
      <t xml:space="preserve"> = </t>
    </r>
  </si>
  <si>
    <t>B30</t>
  </si>
  <si>
    <r>
      <t>R</t>
    </r>
    <r>
      <rPr>
        <b/>
        <vertAlign val="subscript"/>
        <sz val="10"/>
        <color theme="1"/>
        <rFont val="Arial"/>
        <family val="2"/>
      </rPr>
      <t>sw</t>
    </r>
    <r>
      <rPr>
        <b/>
        <sz val="10"/>
        <color theme="1"/>
        <rFont val="Arial"/>
        <family val="2"/>
      </rPr>
      <t xml:space="preserve"> = </t>
    </r>
  </si>
  <si>
    <t>B35</t>
  </si>
  <si>
    <r>
      <t>R</t>
    </r>
    <r>
      <rPr>
        <b/>
        <vertAlign val="subscript"/>
        <sz val="10"/>
        <color theme="1"/>
        <rFont val="Arial"/>
        <family val="2"/>
      </rPr>
      <t>s,ser</t>
    </r>
    <r>
      <rPr>
        <b/>
        <sz val="10"/>
        <color theme="1"/>
        <rFont val="Arial"/>
        <family val="2"/>
      </rPr>
      <t xml:space="preserve"> = </t>
    </r>
  </si>
  <si>
    <t>B40</t>
  </si>
  <si>
    <r>
      <t>E</t>
    </r>
    <r>
      <rPr>
        <b/>
        <vertAlign val="subscript"/>
        <sz val="10"/>
        <color theme="1"/>
        <rFont val="Arial"/>
        <family val="2"/>
      </rPr>
      <t>s</t>
    </r>
    <r>
      <rPr>
        <b/>
        <sz val="10"/>
        <color theme="1"/>
        <rFont val="Arial"/>
        <family val="2"/>
      </rPr>
      <t xml:space="preserve"> = </t>
    </r>
  </si>
  <si>
    <t>B45</t>
  </si>
  <si>
    <t>B50</t>
  </si>
  <si>
    <t>B55</t>
  </si>
  <si>
    <t>B60</t>
  </si>
  <si>
    <t>STEEL</t>
  </si>
  <si>
    <t>CB300V</t>
  </si>
  <si>
    <t>CB400V</t>
  </si>
  <si>
    <t>CB500V</t>
  </si>
  <si>
    <t>B3,5</t>
  </si>
  <si>
    <t>B22,5</t>
  </si>
  <si>
    <t>B7,5</t>
  </si>
  <si>
    <t>B12,5</t>
  </si>
  <si>
    <t>b</t>
  </si>
  <si>
    <t>a</t>
  </si>
  <si>
    <t>(cm)</t>
  </si>
  <si>
    <t>-</t>
  </si>
  <si>
    <t>Bê tông</t>
  </si>
  <si>
    <t>Thép dọc</t>
  </si>
  <si>
    <t>Thép đai</t>
  </si>
  <si>
    <r>
      <t>f</t>
    </r>
    <r>
      <rPr>
        <b/>
        <vertAlign val="subscript"/>
        <sz val="10"/>
        <color theme="1"/>
        <rFont val="Arial"/>
        <family val="2"/>
      </rPr>
      <t>ctm</t>
    </r>
    <r>
      <rPr>
        <b/>
        <sz val="10"/>
        <color theme="1"/>
        <rFont val="Arial"/>
        <family val="2"/>
      </rPr>
      <t xml:space="preserve"> = </t>
    </r>
  </si>
  <si>
    <r>
      <t>(N/mm</t>
    </r>
    <r>
      <rPr>
        <i/>
        <vertAlign val="superscript"/>
        <sz val="10"/>
        <color theme="1"/>
        <rFont val="Arial"/>
        <family val="2"/>
      </rPr>
      <t>2</t>
    </r>
    <r>
      <rPr>
        <i/>
        <sz val="10"/>
        <color theme="1"/>
        <rFont val="Arial"/>
        <family val="2"/>
      </rPr>
      <t>)</t>
    </r>
  </si>
  <si>
    <t>(KNm)</t>
  </si>
  <si>
    <t>CB240T</t>
  </si>
  <si>
    <t>CB300T</t>
  </si>
  <si>
    <r>
      <t>R</t>
    </r>
    <r>
      <rPr>
        <b/>
        <vertAlign val="subscript"/>
        <sz val="13"/>
        <color theme="1"/>
        <rFont val="Times New Roman"/>
        <family val="1"/>
      </rPr>
      <t>b</t>
    </r>
  </si>
  <si>
    <r>
      <t>R</t>
    </r>
    <r>
      <rPr>
        <b/>
        <vertAlign val="subscript"/>
        <sz val="13"/>
        <color theme="1"/>
        <rFont val="Times New Roman"/>
        <family val="1"/>
      </rPr>
      <t>bt</t>
    </r>
  </si>
  <si>
    <r>
      <t>R</t>
    </r>
    <r>
      <rPr>
        <b/>
        <vertAlign val="subscript"/>
        <sz val="13"/>
        <color theme="1"/>
        <rFont val="Times New Roman"/>
        <family val="1"/>
      </rPr>
      <t>b,ser</t>
    </r>
  </si>
  <si>
    <r>
      <t>R</t>
    </r>
    <r>
      <rPr>
        <b/>
        <vertAlign val="subscript"/>
        <sz val="13"/>
        <color theme="1"/>
        <rFont val="Times New Roman"/>
        <family val="1"/>
      </rPr>
      <t>bt,ser</t>
    </r>
  </si>
  <si>
    <r>
      <t>E</t>
    </r>
    <r>
      <rPr>
        <b/>
        <vertAlign val="subscript"/>
        <sz val="13"/>
        <color theme="1"/>
        <rFont val="Times New Roman"/>
        <family val="1"/>
      </rPr>
      <t>b</t>
    </r>
  </si>
  <si>
    <r>
      <t>f</t>
    </r>
    <r>
      <rPr>
        <b/>
        <vertAlign val="subscript"/>
        <sz val="13"/>
        <color theme="1"/>
        <rFont val="Times New Roman"/>
        <family val="1"/>
      </rPr>
      <t>ctm</t>
    </r>
  </si>
  <si>
    <r>
      <t>(daN/cm</t>
    </r>
    <r>
      <rPr>
        <i/>
        <vertAlign val="superscript"/>
        <sz val="13"/>
        <color theme="1"/>
        <rFont val="Times New Roman"/>
        <family val="1"/>
      </rPr>
      <t>2</t>
    </r>
    <r>
      <rPr>
        <i/>
        <sz val="13"/>
        <color theme="1"/>
        <rFont val="Times New Roman"/>
        <family val="1"/>
      </rPr>
      <t>)</t>
    </r>
  </si>
  <si>
    <r>
      <t>(N/mm</t>
    </r>
    <r>
      <rPr>
        <i/>
        <vertAlign val="superscript"/>
        <sz val="13"/>
        <color theme="1"/>
        <rFont val="Times New Roman"/>
        <family val="1"/>
      </rPr>
      <t>2</t>
    </r>
    <r>
      <rPr>
        <i/>
        <sz val="13"/>
        <color theme="1"/>
        <rFont val="Times New Roman"/>
        <family val="1"/>
      </rPr>
      <t>)</t>
    </r>
  </si>
  <si>
    <t>B70</t>
  </si>
  <si>
    <t>B80</t>
  </si>
  <si>
    <t>B90</t>
  </si>
  <si>
    <t>B100</t>
  </si>
  <si>
    <r>
      <t>R</t>
    </r>
    <r>
      <rPr>
        <b/>
        <vertAlign val="subscript"/>
        <sz val="13"/>
        <color theme="1"/>
        <rFont val="Times New Roman"/>
        <family val="1"/>
      </rPr>
      <t>s</t>
    </r>
  </si>
  <si>
    <r>
      <t>R</t>
    </r>
    <r>
      <rPr>
        <b/>
        <vertAlign val="subscript"/>
        <sz val="13"/>
        <color theme="1"/>
        <rFont val="Times New Roman"/>
        <family val="1"/>
      </rPr>
      <t>sc</t>
    </r>
  </si>
  <si>
    <r>
      <t>R</t>
    </r>
    <r>
      <rPr>
        <b/>
        <vertAlign val="subscript"/>
        <sz val="13"/>
        <color theme="1"/>
        <rFont val="Times New Roman"/>
        <family val="1"/>
      </rPr>
      <t>sw</t>
    </r>
  </si>
  <si>
    <r>
      <t>R</t>
    </r>
    <r>
      <rPr>
        <b/>
        <vertAlign val="subscript"/>
        <sz val="13"/>
        <color theme="1"/>
        <rFont val="Times New Roman"/>
        <family val="1"/>
      </rPr>
      <t>s,ser</t>
    </r>
  </si>
  <si>
    <r>
      <t>E</t>
    </r>
    <r>
      <rPr>
        <b/>
        <vertAlign val="subscript"/>
        <sz val="13"/>
        <color theme="1"/>
        <rFont val="Times New Roman"/>
        <family val="1"/>
      </rPr>
      <t>s</t>
    </r>
  </si>
  <si>
    <t>B65</t>
  </si>
  <si>
    <t>RH &lt; 40%</t>
  </si>
  <si>
    <r>
      <t xml:space="preserve">40% </t>
    </r>
    <r>
      <rPr>
        <sz val="11"/>
        <color theme="1"/>
        <rFont val="Calibri"/>
        <family val="2"/>
      </rPr>
      <t>≤</t>
    </r>
    <r>
      <rPr>
        <sz val="11"/>
        <color theme="1"/>
        <rFont val="Times New Roman"/>
        <family val="1"/>
      </rPr>
      <t xml:space="preserve"> RH </t>
    </r>
    <r>
      <rPr>
        <sz val="11"/>
        <color theme="1"/>
        <rFont val="Calibri"/>
        <family val="2"/>
      </rPr>
      <t>≤</t>
    </r>
    <r>
      <rPr>
        <sz val="11"/>
        <color theme="1"/>
        <rFont val="Times New Roman"/>
        <family val="1"/>
      </rPr>
      <t xml:space="preserve"> 75%</t>
    </r>
  </si>
  <si>
    <t>RH &gt; 75%</t>
  </si>
  <si>
    <r>
      <t>Biến dạng tương đối của bê tông khi có tác dụng dài hạn của tải trọng, ε</t>
    </r>
    <r>
      <rPr>
        <b/>
        <vertAlign val="subscript"/>
        <sz val="11"/>
        <color theme="1"/>
        <rFont val="Times New Roman"/>
        <family val="1"/>
      </rPr>
      <t>b2</t>
    </r>
  </si>
  <si>
    <t>TCVN 5574-2018</t>
  </si>
  <si>
    <r>
      <t>Biến dạng tương đối của bê tông khi có tác dụng ngắn hạn của tải trọng, ε</t>
    </r>
    <r>
      <rPr>
        <b/>
        <vertAlign val="subscript"/>
        <sz val="11"/>
        <color theme="1"/>
        <rFont val="Times New Roman"/>
        <family val="1"/>
      </rPr>
      <t>b2</t>
    </r>
  </si>
  <si>
    <t>1. Giới thiệu</t>
  </si>
  <si>
    <t>Tên công trình:</t>
  </si>
  <si>
    <t>Địa điểm:</t>
  </si>
  <si>
    <t>Tiêu chuẩn áp dụng:</t>
  </si>
  <si>
    <t>2. Vật liệu sử dụng</t>
  </si>
  <si>
    <t>Cốt thép</t>
  </si>
  <si>
    <t>Khu Đô thị Thương mại và Dịch vụ Văn Giang (Ecopark), Xã Xuân Quan, Văn Giang, Hưng Yên</t>
  </si>
  <si>
    <t>Khu Căn hộ Vịnh đảo (CT-07) - Sky Oasis Residences</t>
  </si>
  <si>
    <r>
      <t>E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 xml:space="preserve"> </t>
    </r>
  </si>
  <si>
    <t>=&gt;</t>
  </si>
  <si>
    <t>TÍNH TOÁN KIỂM TRA DẦM BTCT CHỊU XOẮN</t>
  </si>
  <si>
    <t>(KN)</t>
  </si>
  <si>
    <t>Cốt đai</t>
  </si>
  <si>
    <r>
      <t>0,1.R</t>
    </r>
    <r>
      <rPr>
        <b/>
        <vertAlign val="subscript"/>
        <sz val="13"/>
        <color theme="1"/>
        <rFont val="Times New Roman"/>
        <family val="1"/>
      </rPr>
      <t>b</t>
    </r>
    <r>
      <rPr>
        <b/>
        <sz val="13"/>
        <color theme="1"/>
        <rFont val="Times New Roman"/>
        <family val="1"/>
      </rPr>
      <t>.b</t>
    </r>
    <r>
      <rPr>
        <b/>
        <vertAlign val="super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 xml:space="preserve">.h = </t>
    </r>
  </si>
  <si>
    <t xml:space="preserve">T = </t>
  </si>
  <si>
    <t>- Lực trong cốt thép ngang:</t>
  </si>
  <si>
    <r>
      <t>q</t>
    </r>
    <r>
      <rPr>
        <b/>
        <vertAlign val="subscript"/>
        <sz val="13"/>
        <color theme="1"/>
        <rFont val="Times New Roman"/>
        <family val="1"/>
      </rPr>
      <t>sw,1</t>
    </r>
    <r>
      <rPr>
        <b/>
        <sz val="13"/>
        <color theme="1"/>
        <rFont val="Times New Roman"/>
        <family val="1"/>
      </rPr>
      <t xml:space="preserve"> = R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>.A</t>
    </r>
    <r>
      <rPr>
        <b/>
        <vertAlign val="subscript"/>
        <sz val="13"/>
        <color theme="1"/>
        <rFont val="Times New Roman"/>
        <family val="1"/>
      </rPr>
      <t>sw,1</t>
    </r>
    <r>
      <rPr>
        <b/>
        <sz val="13"/>
        <color theme="1"/>
        <rFont val="Times New Roman"/>
        <family val="1"/>
      </rPr>
      <t>/s</t>
    </r>
    <r>
      <rPr>
        <b/>
        <vertAlign val="subscript"/>
        <sz val="13"/>
        <color theme="1"/>
        <rFont val="Times New Roman"/>
        <family val="1"/>
      </rPr>
      <t>w</t>
    </r>
    <r>
      <rPr>
        <b/>
        <sz val="13"/>
        <color theme="1"/>
        <rFont val="Times New Roman"/>
        <family val="1"/>
      </rPr>
      <t xml:space="preserve"> = </t>
    </r>
  </si>
  <si>
    <t>(daN/cm)</t>
  </si>
  <si>
    <t>- Hệ số kể đến tỉ lệ các cạnh của tiết diện ngang:</t>
  </si>
  <si>
    <r>
      <rPr>
        <b/>
        <sz val="13"/>
        <color theme="1"/>
        <rFont val="Calibri"/>
        <family val="2"/>
      </rPr>
      <t>δ</t>
    </r>
    <r>
      <rPr>
        <b/>
        <sz val="13"/>
        <color theme="1"/>
        <rFont val="Times New Roman"/>
        <family val="1"/>
      </rPr>
      <t xml:space="preserve"> = Z</t>
    </r>
    <r>
      <rPr>
        <b/>
        <vertAlign val="subscript"/>
        <sz val="13"/>
        <color theme="1"/>
        <rFont val="Times New Roman"/>
        <family val="1"/>
      </rPr>
      <t>1</t>
    </r>
    <r>
      <rPr>
        <b/>
        <sz val="13"/>
        <color theme="1"/>
        <rFont val="Times New Roman"/>
        <family val="1"/>
      </rPr>
      <t>/(2.Z</t>
    </r>
    <r>
      <rPr>
        <b/>
        <vertAlign val="sub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 xml:space="preserve"> + Z</t>
    </r>
    <r>
      <rPr>
        <b/>
        <vertAlign val="subscript"/>
        <sz val="13"/>
        <color theme="1"/>
        <rFont val="Times New Roman"/>
        <family val="1"/>
      </rPr>
      <t>1</t>
    </r>
    <r>
      <rPr>
        <b/>
        <sz val="13"/>
        <color theme="1"/>
        <rFont val="Times New Roman"/>
        <family val="1"/>
      </rPr>
      <t xml:space="preserve">) = </t>
    </r>
  </si>
  <si>
    <t xml:space="preserve">- Chiều dài hình chiếu của cạnh chịu nén của tiết diện không gian lên trục dọc cấu kiện: </t>
  </si>
  <si>
    <t xml:space="preserve">- Chiều dài hình chiếu của cạnh chịu kéo của tiết diện không gian lên trục dọc cấu kiện: </t>
  </si>
  <si>
    <r>
      <t>C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 xml:space="preserve"> = </t>
    </r>
    <r>
      <rPr>
        <b/>
        <sz val="13"/>
        <color theme="1"/>
        <rFont val="Calibri"/>
        <family val="2"/>
      </rPr>
      <t>δ</t>
    </r>
    <r>
      <rPr>
        <b/>
        <sz val="13"/>
        <color theme="1"/>
        <rFont val="Times New Roman"/>
        <family val="1"/>
      </rPr>
      <t xml:space="preserve">.C = </t>
    </r>
  </si>
  <si>
    <t>- Lực trong cốt thép nằm theo phương ngang so với trục dọc cấu kiện:</t>
  </si>
  <si>
    <r>
      <t>N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 xml:space="preserve"> = q</t>
    </r>
    <r>
      <rPr>
        <b/>
        <vertAlign val="subscript"/>
        <sz val="13"/>
        <color theme="1"/>
        <rFont val="Times New Roman"/>
        <family val="1"/>
      </rPr>
      <t>sw,1</t>
    </r>
    <r>
      <rPr>
        <b/>
        <sz val="13"/>
        <color theme="1"/>
        <rFont val="Times New Roman"/>
        <family val="1"/>
      </rPr>
      <t>.C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 xml:space="preserve"> = </t>
    </r>
  </si>
  <si>
    <t xml:space="preserve">so với trục cấu kiện (cốt đai): </t>
  </si>
  <si>
    <t>- Mô men xoắn chịu bởi cốt thép (của tiết diện không gian) nằm theo phương ngang</t>
  </si>
  <si>
    <r>
      <t>T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 xml:space="preserve"> = 0,9.N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>.Z</t>
    </r>
    <r>
      <rPr>
        <b/>
        <vertAlign val="sub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 xml:space="preserve"> = </t>
    </r>
  </si>
  <si>
    <t>- Mô men xoắn chịu bởi cốt thép (của tiết diện không gian) nằm theo phương dọc</t>
  </si>
  <si>
    <t xml:space="preserve">với trục cấu kiện (cốt dọc): </t>
  </si>
  <si>
    <t xml:space="preserve">- Lực trong cốt thép dọc nằm gần biên đang xét của cấu kiện: </t>
  </si>
  <si>
    <r>
      <t>T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 xml:space="preserve"> = 0,9.N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>.(Z</t>
    </r>
    <r>
      <rPr>
        <b/>
        <vertAlign val="subscript"/>
        <sz val="13"/>
        <color theme="1"/>
        <rFont val="Times New Roman"/>
        <family val="1"/>
      </rPr>
      <t>1</t>
    </r>
    <r>
      <rPr>
        <b/>
        <sz val="13"/>
        <color theme="1"/>
        <rFont val="Times New Roman"/>
        <family val="1"/>
      </rPr>
      <t>/C).Z</t>
    </r>
    <r>
      <rPr>
        <b/>
        <vertAlign val="sub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 xml:space="preserve"> = </t>
    </r>
  </si>
  <si>
    <r>
      <t>T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 = T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 xml:space="preserve"> + T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 xml:space="preserve"> = </t>
    </r>
  </si>
  <si>
    <t>- Chiều cao vùng chịu nén x:</t>
  </si>
  <si>
    <t>- Mô men xoắn giới hạn mà cấu kiện (trong khoảng giữa các tiết diện không gian) có</t>
  </si>
  <si>
    <t xml:space="preserve">thể chịu được: </t>
  </si>
  <si>
    <r>
      <t>T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 = 0,1.R</t>
    </r>
    <r>
      <rPr>
        <b/>
        <vertAlign val="subscript"/>
        <sz val="13"/>
        <color theme="1"/>
        <rFont val="Times New Roman"/>
        <family val="1"/>
      </rPr>
      <t>b</t>
    </r>
    <r>
      <rPr>
        <b/>
        <sz val="13"/>
        <color theme="1"/>
        <rFont val="Times New Roman"/>
        <family val="1"/>
      </rPr>
      <t>.b</t>
    </r>
    <r>
      <rPr>
        <b/>
        <vertAlign val="super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 xml:space="preserve">.h = </t>
    </r>
  </si>
  <si>
    <r>
      <t>2.Z</t>
    </r>
    <r>
      <rPr>
        <vertAlign val="subscript"/>
        <sz val="13"/>
        <color theme="1"/>
        <rFont val="Times New Roman"/>
        <family val="1"/>
      </rPr>
      <t>2</t>
    </r>
    <r>
      <rPr>
        <sz val="13"/>
        <color theme="1"/>
        <rFont val="Times New Roman"/>
        <family val="1"/>
      </rPr>
      <t>+Z</t>
    </r>
    <r>
      <rPr>
        <vertAlign val="subscript"/>
        <sz val="13"/>
        <color theme="1"/>
        <rFont val="Times New Roman"/>
        <family val="1"/>
      </rPr>
      <t>1</t>
    </r>
  </si>
  <si>
    <r>
      <t>Z</t>
    </r>
    <r>
      <rPr>
        <vertAlign val="subscript"/>
        <sz val="13"/>
        <color theme="1"/>
        <rFont val="Times New Roman"/>
        <family val="1"/>
      </rPr>
      <t>1</t>
    </r>
    <r>
      <rPr>
        <sz val="13"/>
        <color theme="1"/>
        <rFont val="Times New Roman"/>
        <family val="1"/>
      </rPr>
      <t>.sqrt(2/</t>
    </r>
    <r>
      <rPr>
        <sz val="13"/>
        <color theme="1"/>
        <rFont val="Calibri"/>
        <family val="2"/>
      </rPr>
      <t>δ</t>
    </r>
    <r>
      <rPr>
        <sz val="13"/>
        <color theme="1"/>
        <rFont val="Times New Roman"/>
        <family val="1"/>
      </rPr>
      <t>)</t>
    </r>
  </si>
  <si>
    <t xml:space="preserve">- Lực cắt giới hạn chịu được bởi bê tông giữa các tiết diện nghiêng: </t>
  </si>
  <si>
    <r>
      <t>Q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 = φ</t>
    </r>
    <r>
      <rPr>
        <b/>
        <vertAlign val="subscript"/>
        <sz val="13"/>
        <color theme="1"/>
        <rFont val="Times New Roman"/>
        <family val="1"/>
      </rPr>
      <t>b1</t>
    </r>
    <r>
      <rPr>
        <b/>
        <sz val="13"/>
        <color theme="1"/>
        <rFont val="Times New Roman"/>
        <family val="1"/>
      </rPr>
      <t>.R</t>
    </r>
    <r>
      <rPr>
        <b/>
        <vertAlign val="subscript"/>
        <sz val="13"/>
        <color theme="1"/>
        <rFont val="Times New Roman"/>
        <family val="1"/>
      </rPr>
      <t>b</t>
    </r>
    <r>
      <rPr>
        <b/>
        <sz val="13"/>
        <color theme="1"/>
        <rFont val="Times New Roman"/>
        <family val="1"/>
      </rPr>
      <t>.b.h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 = </t>
    </r>
  </si>
  <si>
    <r>
      <t>T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>.(1 - Q/Q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) = </t>
    </r>
  </si>
  <si>
    <r>
      <t>Q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 = Q</t>
    </r>
    <r>
      <rPr>
        <b/>
        <vertAlign val="subscript"/>
        <sz val="13"/>
        <color theme="1"/>
        <rFont val="Times New Roman"/>
        <family val="1"/>
      </rPr>
      <t>b</t>
    </r>
    <r>
      <rPr>
        <b/>
        <sz val="13"/>
        <color theme="1"/>
        <rFont val="Times New Roman"/>
        <family val="1"/>
      </rPr>
      <t xml:space="preserve"> + Q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 xml:space="preserve"> = </t>
    </r>
  </si>
  <si>
    <t>- Lực cắt chịu bởi bê tông trong tiết diện nghiêng:</t>
  </si>
  <si>
    <t xml:space="preserve">- Chiều dài hình chiếu tiết diện nghiêng: </t>
  </si>
  <si>
    <t xml:space="preserve">- Lực trong cốt thép ngang trên một đơn vị chiều dài cấu kiện: </t>
  </si>
  <si>
    <r>
      <t>q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 xml:space="preserve"> = R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>.A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>/s</t>
    </r>
    <r>
      <rPr>
        <b/>
        <vertAlign val="subscript"/>
        <sz val="13"/>
        <color theme="1"/>
        <rFont val="Times New Roman"/>
        <family val="1"/>
      </rPr>
      <t>w</t>
    </r>
    <r>
      <rPr>
        <b/>
        <sz val="13"/>
        <color theme="1"/>
        <rFont val="Times New Roman"/>
        <family val="1"/>
      </rPr>
      <t xml:space="preserve"> = </t>
    </r>
  </si>
  <si>
    <r>
      <t>Q</t>
    </r>
    <r>
      <rPr>
        <b/>
        <vertAlign val="subscript"/>
        <sz val="13"/>
        <color theme="1"/>
        <rFont val="Times New Roman"/>
        <family val="1"/>
      </rPr>
      <t>b</t>
    </r>
    <r>
      <rPr>
        <b/>
        <sz val="13"/>
        <color theme="1"/>
        <rFont val="Times New Roman"/>
        <family val="1"/>
      </rPr>
      <t xml:space="preserve"> = φ</t>
    </r>
    <r>
      <rPr>
        <b/>
        <vertAlign val="subscript"/>
        <sz val="13"/>
        <color theme="1"/>
        <rFont val="Times New Roman"/>
        <family val="1"/>
      </rPr>
      <t>b2</t>
    </r>
    <r>
      <rPr>
        <b/>
        <sz val="13"/>
        <color theme="1"/>
        <rFont val="Times New Roman"/>
        <family val="1"/>
      </rPr>
      <t>.R</t>
    </r>
    <r>
      <rPr>
        <b/>
        <vertAlign val="subscript"/>
        <sz val="13"/>
        <color theme="1"/>
        <rFont val="Times New Roman"/>
        <family val="1"/>
      </rPr>
      <t>bt</t>
    </r>
    <r>
      <rPr>
        <b/>
        <sz val="13"/>
        <color theme="1"/>
        <rFont val="Times New Roman"/>
        <family val="1"/>
      </rPr>
      <t>.b.h</t>
    </r>
    <r>
      <rPr>
        <b/>
        <vertAlign val="subscript"/>
        <sz val="13"/>
        <color theme="1"/>
        <rFont val="Times New Roman"/>
        <family val="1"/>
      </rPr>
      <t>0</t>
    </r>
    <r>
      <rPr>
        <b/>
        <vertAlign val="super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>/C</t>
    </r>
    <r>
      <rPr>
        <b/>
        <vertAlign val="subscript"/>
        <sz val="13"/>
        <color theme="1"/>
        <rFont val="Times New Roman"/>
        <family val="1"/>
      </rPr>
      <t>1</t>
    </r>
    <r>
      <rPr>
        <b/>
        <sz val="13"/>
        <color theme="1"/>
        <rFont val="Times New Roman"/>
        <family val="1"/>
      </rPr>
      <t xml:space="preserve"> = </t>
    </r>
  </si>
  <si>
    <t>- Lực cắt chịu bởi cốt thép ngang trong tiết diện nghiêng:</t>
  </si>
  <si>
    <r>
      <t>Q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 xml:space="preserve"> = φ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>.q</t>
    </r>
    <r>
      <rPr>
        <b/>
        <vertAlign val="subscript"/>
        <sz val="13"/>
        <color theme="1"/>
        <rFont val="Times New Roman"/>
        <family val="1"/>
      </rPr>
      <t>sw</t>
    </r>
    <r>
      <rPr>
        <b/>
        <sz val="13"/>
        <color theme="1"/>
        <rFont val="Times New Roman"/>
        <family val="1"/>
      </rPr>
      <t>.C</t>
    </r>
    <r>
      <rPr>
        <b/>
        <vertAlign val="subscript"/>
        <sz val="13"/>
        <color theme="1"/>
        <rFont val="Times New Roman"/>
        <family val="1"/>
      </rPr>
      <t>1</t>
    </r>
    <r>
      <rPr>
        <b/>
        <sz val="13"/>
        <color theme="1"/>
        <rFont val="Times New Roman"/>
        <family val="1"/>
      </rPr>
      <t xml:space="preserve"> = </t>
    </r>
  </si>
  <si>
    <t>Q (V2)</t>
  </si>
  <si>
    <r>
      <t>T (M</t>
    </r>
    <r>
      <rPr>
        <b/>
        <vertAlign val="subscript"/>
        <sz val="13"/>
        <color theme="1"/>
        <rFont val="Times New Roman"/>
        <family val="1"/>
      </rPr>
      <t>t</t>
    </r>
    <r>
      <rPr>
        <b/>
        <sz val="13"/>
        <color theme="1"/>
        <rFont val="Times New Roman"/>
        <family val="1"/>
      </rPr>
      <t>)</t>
    </r>
  </si>
  <si>
    <t>M (M3)</t>
  </si>
  <si>
    <t>+</t>
  </si>
  <si>
    <t>λ</t>
  </si>
  <si>
    <t xml:space="preserve">- Hệ số quan hệ giữa cốt thép ngang và cốt thép dọc: </t>
  </si>
  <si>
    <r>
      <t>φ</t>
    </r>
    <r>
      <rPr>
        <b/>
        <vertAlign val="subscript"/>
        <sz val="13"/>
        <color theme="1"/>
        <rFont val="Times New Roman"/>
        <family val="1"/>
      </rPr>
      <t>w</t>
    </r>
    <r>
      <rPr>
        <b/>
        <sz val="13"/>
        <color theme="1"/>
        <rFont val="Times New Roman"/>
        <family val="1"/>
      </rPr>
      <t xml:space="preserve"> = q</t>
    </r>
    <r>
      <rPr>
        <b/>
        <vertAlign val="subscript"/>
        <sz val="13"/>
        <color theme="1"/>
        <rFont val="Times New Roman"/>
        <family val="1"/>
      </rPr>
      <t>sw,1</t>
    </r>
    <r>
      <rPr>
        <b/>
        <sz val="13"/>
        <color theme="1"/>
        <rFont val="Times New Roman"/>
        <family val="1"/>
      </rPr>
      <t>.Z</t>
    </r>
    <r>
      <rPr>
        <b/>
        <vertAlign val="subscript"/>
        <sz val="13"/>
        <color theme="1"/>
        <rFont val="Times New Roman"/>
        <family val="1"/>
      </rPr>
      <t>1</t>
    </r>
    <r>
      <rPr>
        <b/>
        <sz val="13"/>
        <color theme="1"/>
        <rFont val="Times New Roman"/>
        <family val="1"/>
      </rPr>
      <t>/(R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>.A</t>
    </r>
    <r>
      <rPr>
        <b/>
        <vertAlign val="subscript"/>
        <sz val="13"/>
        <color theme="1"/>
        <rFont val="Times New Roman"/>
        <family val="1"/>
      </rPr>
      <t>s,1</t>
    </r>
    <r>
      <rPr>
        <b/>
        <sz val="13"/>
        <color theme="1"/>
        <rFont val="Times New Roman"/>
        <family val="1"/>
      </rPr>
      <t xml:space="preserve">) = </t>
    </r>
  </si>
  <si>
    <t xml:space="preserve">Trường hợp tác dụng tải trọng: </t>
  </si>
  <si>
    <t>Dài hạn</t>
  </si>
  <si>
    <t xml:space="preserve">Độ ẩm tương đối: </t>
  </si>
  <si>
    <t xml:space="preserve">χ =  </t>
  </si>
  <si>
    <r>
      <t>φ</t>
    </r>
    <r>
      <rPr>
        <b/>
        <vertAlign val="subscript"/>
        <sz val="13"/>
        <color theme="1"/>
        <rFont val="Times New Roman"/>
        <family val="1"/>
      </rPr>
      <t>w,min</t>
    </r>
    <r>
      <rPr>
        <b/>
        <sz val="13"/>
        <color theme="1"/>
        <rFont val="Times New Roman"/>
        <family val="1"/>
      </rPr>
      <t xml:space="preserve"> = 0,5/(1 + M/(2.φ</t>
    </r>
    <r>
      <rPr>
        <b/>
        <vertAlign val="subscript"/>
        <sz val="13"/>
        <color theme="1"/>
        <rFont val="Times New Roman"/>
        <family val="1"/>
      </rPr>
      <t>w</t>
    </r>
    <r>
      <rPr>
        <b/>
        <sz val="13"/>
        <color theme="1"/>
        <rFont val="Times New Roman"/>
        <family val="1"/>
      </rPr>
      <t>.M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)) = </t>
    </r>
  </si>
  <si>
    <r>
      <t>φ</t>
    </r>
    <r>
      <rPr>
        <b/>
        <vertAlign val="subscript"/>
        <sz val="13"/>
        <color theme="1"/>
        <rFont val="Times New Roman"/>
        <family val="1"/>
      </rPr>
      <t>w,max</t>
    </r>
    <r>
      <rPr>
        <b/>
        <sz val="13"/>
        <color theme="1"/>
        <rFont val="Times New Roman"/>
        <family val="1"/>
      </rPr>
      <t xml:space="preserve"> = 1,5.(1 - M/M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) = </t>
    </r>
  </si>
  <si>
    <t>Hệ số</t>
  </si>
  <si>
    <t>Giá trị</t>
  </si>
  <si>
    <t>c</t>
  </si>
  <si>
    <t>Δ</t>
  </si>
  <si>
    <t>Kiểm tra</t>
  </si>
  <si>
    <r>
      <t>φ</t>
    </r>
    <r>
      <rPr>
        <b/>
        <vertAlign val="subscript"/>
        <sz val="13"/>
        <color theme="1"/>
        <rFont val="Times New Roman"/>
        <family val="1"/>
      </rPr>
      <t>w</t>
    </r>
    <r>
      <rPr>
        <b/>
        <sz val="13"/>
        <color theme="1"/>
        <rFont val="Times New Roman"/>
        <family val="1"/>
      </rPr>
      <t xml:space="preserve"> = </t>
    </r>
  </si>
  <si>
    <t xml:space="preserve">Tỉ số: </t>
  </si>
  <si>
    <r>
      <t>φ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 xml:space="preserve"> = φ</t>
    </r>
    <r>
      <rPr>
        <b/>
        <vertAlign val="subscript"/>
        <sz val="13"/>
        <color theme="1"/>
        <rFont val="Times New Roman"/>
        <family val="1"/>
      </rPr>
      <t>w</t>
    </r>
    <r>
      <rPr>
        <b/>
        <sz val="13"/>
        <color theme="1"/>
        <rFont val="Times New Roman"/>
        <family val="1"/>
      </rPr>
      <t>/φ</t>
    </r>
    <r>
      <rPr>
        <b/>
        <vertAlign val="subscript"/>
        <sz val="13"/>
        <color theme="1"/>
        <rFont val="Times New Roman"/>
        <family val="1"/>
      </rPr>
      <t>w,min</t>
    </r>
    <r>
      <rPr>
        <b/>
        <sz val="13"/>
        <color theme="1"/>
        <rFont val="Times New Roman"/>
        <family val="1"/>
      </rPr>
      <t xml:space="preserve"> = </t>
    </r>
  </si>
  <si>
    <r>
      <t>Đạo hàm bậc nhất của M</t>
    </r>
    <r>
      <rPr>
        <vertAlign val="subscript"/>
        <sz val="13"/>
        <color theme="1"/>
        <rFont val="Times New Roman"/>
        <family val="1"/>
      </rPr>
      <t>gh</t>
    </r>
    <r>
      <rPr>
        <sz val="13"/>
        <color theme="1"/>
        <rFont val="Times New Roman"/>
        <family val="1"/>
      </rPr>
      <t xml:space="preserve"> đối với λ và cho bằng 0, ta được phương trình: </t>
    </r>
  </si>
  <si>
    <t xml:space="preserve">.λ      - </t>
  </si>
  <si>
    <t>= 0</t>
  </si>
  <si>
    <t xml:space="preserve">Giải phương trình ta được: </t>
  </si>
  <si>
    <t xml:space="preserve">λ = </t>
  </si>
  <si>
    <t xml:space="preserve">- Mô men uốn giới hạn của tiết diện vênh: </t>
  </si>
  <si>
    <r>
      <t>M</t>
    </r>
    <r>
      <rPr>
        <b/>
        <vertAlign val="subscript"/>
        <sz val="13"/>
        <color theme="1"/>
        <rFont val="Times New Roman"/>
        <family val="1"/>
      </rPr>
      <t>gh</t>
    </r>
    <r>
      <rPr>
        <b/>
        <sz val="13"/>
        <color theme="1"/>
        <rFont val="Times New Roman"/>
        <family val="1"/>
      </rPr>
      <t xml:space="preserve"> = </t>
    </r>
  </si>
  <si>
    <r>
      <t>φ</t>
    </r>
    <r>
      <rPr>
        <b/>
        <vertAlign val="subscript"/>
        <sz val="13"/>
        <color theme="1"/>
        <rFont val="Times New Roman"/>
        <family val="1"/>
      </rPr>
      <t>b</t>
    </r>
    <r>
      <rPr>
        <b/>
        <sz val="13"/>
        <color theme="1"/>
        <rFont val="Times New Roman"/>
        <family val="1"/>
      </rPr>
      <t>.λ + χ</t>
    </r>
  </si>
  <si>
    <r>
      <t>λ</t>
    </r>
    <r>
      <rPr>
        <b/>
        <vertAlign val="super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>.</t>
    </r>
  </si>
  <si>
    <r>
      <t>.λ</t>
    </r>
    <r>
      <rPr>
        <b/>
        <vertAlign val="super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 xml:space="preserve">         + </t>
    </r>
  </si>
  <si>
    <t xml:space="preserve">x = </t>
  </si>
  <si>
    <r>
      <t>M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 = </t>
    </r>
  </si>
  <si>
    <t xml:space="preserve">M = </t>
  </si>
  <si>
    <t xml:space="preserve">- Mô men uốn giới hạn mà tiết diện thẳng góc có thể chịu được: </t>
  </si>
  <si>
    <t xml:space="preserve">- Mô men xoắn giới hạn mà tiết diện không gian có thể chịu được: </t>
  </si>
  <si>
    <t xml:space="preserve">- Lực cắt giới hạn mà tiết diện nghiêng có thể chịu được: </t>
  </si>
  <si>
    <r>
      <t>(daN/cm</t>
    </r>
    <r>
      <rPr>
        <i/>
        <vertAlign val="superscript"/>
        <sz val="12"/>
        <color theme="1"/>
        <rFont val="Times New Roman"/>
        <family val="1"/>
      </rPr>
      <t>2</t>
    </r>
    <r>
      <rPr>
        <i/>
        <sz val="12"/>
        <color theme="1"/>
        <rFont val="Times New Roman"/>
        <family val="1"/>
      </rPr>
      <t>)</t>
    </r>
  </si>
  <si>
    <r>
      <t>R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 xml:space="preserve"> = R</t>
    </r>
    <r>
      <rPr>
        <b/>
        <vertAlign val="subscript"/>
        <sz val="13"/>
        <color theme="1"/>
        <rFont val="Times New Roman"/>
        <family val="1"/>
      </rPr>
      <t>sc</t>
    </r>
  </si>
  <si>
    <t xml:space="preserve">b = </t>
  </si>
  <si>
    <t xml:space="preserve">h = </t>
  </si>
  <si>
    <t xml:space="preserve">a = </t>
  </si>
  <si>
    <t>3. Nội lực tính toán</t>
  </si>
  <si>
    <t>4. Kích thước tiết diện</t>
  </si>
  <si>
    <t>5. Các hệ số</t>
  </si>
  <si>
    <t>6. Tính toán</t>
  </si>
  <si>
    <t>6.1. Tính toán độ bền dầm BTCT chịu tác dụng đồng thời của mô men xoắn và mô men uốn</t>
  </si>
  <si>
    <t>6.2. Tính toán độ bền dầm BTCT chịu tác dụng đồng thời của mô men xoắn và lực cắt</t>
  </si>
  <si>
    <r>
      <t>A'</t>
    </r>
    <r>
      <rPr>
        <vertAlign val="subscript"/>
        <sz val="13"/>
        <color theme="1"/>
        <rFont val="Times New Roman"/>
        <family val="1"/>
      </rPr>
      <t>s</t>
    </r>
    <r>
      <rPr>
        <sz val="13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(cm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  <r>
      <rPr>
        <sz val="13"/>
        <color theme="1"/>
        <rFont val="Times New Roman"/>
        <family val="1"/>
      </rPr>
      <t xml:space="preserve"> = </t>
    </r>
  </si>
  <si>
    <t xml:space="preserve">n = </t>
  </si>
  <si>
    <t xml:space="preserve">d = </t>
  </si>
  <si>
    <r>
      <t>A</t>
    </r>
    <r>
      <rPr>
        <vertAlign val="subscript"/>
        <sz val="13"/>
        <color theme="1"/>
        <rFont val="Times New Roman"/>
        <family val="1"/>
      </rPr>
      <t>sw</t>
    </r>
    <r>
      <rPr>
        <sz val="12"/>
        <color theme="1"/>
        <rFont val="Times New Roman"/>
        <family val="1"/>
      </rPr>
      <t>(cm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  <r>
      <rPr>
        <sz val="13"/>
        <color theme="1"/>
        <rFont val="Times New Roman"/>
        <family val="1"/>
      </rPr>
      <t xml:space="preserve"> = </t>
    </r>
  </si>
  <si>
    <r>
      <t>s</t>
    </r>
    <r>
      <rPr>
        <vertAlign val="subscript"/>
        <sz val="13"/>
        <color theme="1"/>
        <rFont val="Times New Roman"/>
        <family val="1"/>
      </rPr>
      <t>w</t>
    </r>
    <r>
      <rPr>
        <sz val="13"/>
        <color theme="1"/>
        <rFont val="Times New Roman"/>
        <family val="1"/>
      </rPr>
      <t xml:space="preserve"> = </t>
    </r>
  </si>
  <si>
    <t>Cốt thép dọc</t>
  </si>
  <si>
    <t>Vùng kéo</t>
  </si>
  <si>
    <t>Vùng nén</t>
  </si>
  <si>
    <r>
      <t>A</t>
    </r>
    <r>
      <rPr>
        <vertAlign val="subscript"/>
        <sz val="13"/>
        <color theme="1"/>
        <rFont val="Times New Roman"/>
        <family val="1"/>
      </rPr>
      <t>sw,1</t>
    </r>
    <r>
      <rPr>
        <sz val="12"/>
        <color theme="1"/>
        <rFont val="Times New Roman"/>
        <family val="1"/>
      </rPr>
      <t>(cm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  <r>
      <rPr>
        <sz val="13"/>
        <color theme="1"/>
        <rFont val="Times New Roman"/>
        <family val="1"/>
      </rPr>
      <t xml:space="preserve">= </t>
    </r>
  </si>
  <si>
    <t>6.1.a. Kiểm tra độ bền cấu kiện giữa các tiết diện không gian</t>
  </si>
  <si>
    <t>6.2.a. Kiểm tra độ bền cấu kiện giữa các tiết diện không gian</t>
  </si>
  <si>
    <r>
      <t>Z</t>
    </r>
    <r>
      <rPr>
        <b/>
        <vertAlign val="subscript"/>
        <sz val="13"/>
        <color theme="1"/>
        <rFont val="Times New Roman"/>
        <family val="1"/>
      </rPr>
      <t>1</t>
    </r>
    <r>
      <rPr>
        <b/>
        <sz val="13"/>
        <color theme="1"/>
        <rFont val="Times New Roman"/>
        <family val="1"/>
      </rPr>
      <t xml:space="preserve"> </t>
    </r>
    <r>
      <rPr>
        <sz val="13"/>
        <color theme="1"/>
        <rFont val="Times New Roman"/>
        <family val="1"/>
      </rPr>
      <t>(cm)</t>
    </r>
    <r>
      <rPr>
        <b/>
        <sz val="13"/>
        <color theme="1"/>
        <rFont val="Times New Roman"/>
        <family val="1"/>
      </rPr>
      <t xml:space="preserve"> = </t>
    </r>
  </si>
  <si>
    <r>
      <t>Z</t>
    </r>
    <r>
      <rPr>
        <b/>
        <vertAlign val="sub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 xml:space="preserve"> </t>
    </r>
    <r>
      <rPr>
        <sz val="13"/>
        <color theme="1"/>
        <rFont val="Times New Roman"/>
        <family val="1"/>
      </rPr>
      <t>(cm)</t>
    </r>
    <r>
      <rPr>
        <b/>
        <sz val="13"/>
        <color theme="1"/>
        <rFont val="Times New Roman"/>
        <family val="1"/>
      </rPr>
      <t xml:space="preserve"> = </t>
    </r>
  </si>
  <si>
    <t xml:space="preserve">Kết luận: </t>
  </si>
  <si>
    <t>6.1.b. Tính toán, kiểm tra độ bền các tiết diện không gian</t>
  </si>
  <si>
    <t>6.2.b. Tính toán, kiểm tra độ bền các tiết diện không gian</t>
  </si>
  <si>
    <r>
      <t>φ</t>
    </r>
    <r>
      <rPr>
        <b/>
        <vertAlign val="subscript"/>
        <sz val="13"/>
        <color theme="1"/>
        <rFont val="Times New Roman"/>
        <family val="1"/>
      </rPr>
      <t>b</t>
    </r>
    <r>
      <rPr>
        <b/>
        <sz val="13"/>
        <color theme="1"/>
        <rFont val="Times New Roman"/>
        <family val="1"/>
      </rPr>
      <t xml:space="preserve"> = </t>
    </r>
  </si>
  <si>
    <r>
      <t>γ</t>
    </r>
    <r>
      <rPr>
        <b/>
        <vertAlign val="subscript"/>
        <sz val="13"/>
        <color theme="1"/>
        <rFont val="Times New Roman"/>
        <family val="1"/>
      </rPr>
      <t>b1</t>
    </r>
  </si>
  <si>
    <r>
      <t>ε</t>
    </r>
    <r>
      <rPr>
        <b/>
        <vertAlign val="subscript"/>
        <sz val="13"/>
        <rFont val="Times New Roman"/>
        <family val="1"/>
      </rPr>
      <t>s,el</t>
    </r>
  </si>
  <si>
    <r>
      <t>ε</t>
    </r>
    <r>
      <rPr>
        <b/>
        <vertAlign val="subscript"/>
        <sz val="13"/>
        <color theme="1"/>
        <rFont val="Times New Roman"/>
        <family val="1"/>
      </rPr>
      <t>b2</t>
    </r>
  </si>
  <si>
    <r>
      <t>ξ</t>
    </r>
    <r>
      <rPr>
        <b/>
        <vertAlign val="subscript"/>
        <sz val="13"/>
        <color theme="1"/>
        <rFont val="Times New Roman"/>
        <family val="1"/>
      </rPr>
      <t>R</t>
    </r>
  </si>
  <si>
    <r>
      <t>φ</t>
    </r>
    <r>
      <rPr>
        <b/>
        <vertAlign val="subscript"/>
        <sz val="13"/>
        <color theme="1"/>
        <rFont val="Times New Roman"/>
        <family val="1"/>
      </rPr>
      <t>w,min</t>
    </r>
    <r>
      <rPr>
        <b/>
        <sz val="13"/>
        <color theme="1"/>
        <rFont val="Times New Roman"/>
        <family val="1"/>
      </rPr>
      <t xml:space="preserve"> = </t>
    </r>
  </si>
  <si>
    <r>
      <t>φ</t>
    </r>
    <r>
      <rPr>
        <b/>
        <vertAlign val="subscript"/>
        <sz val="13"/>
        <color theme="1"/>
        <rFont val="Times New Roman"/>
        <family val="1"/>
      </rPr>
      <t>w,max</t>
    </r>
    <r>
      <rPr>
        <b/>
        <sz val="13"/>
        <color theme="1"/>
        <rFont val="Times New Roman"/>
        <family val="1"/>
      </rPr>
      <t xml:space="preserve"> = </t>
    </r>
  </si>
  <si>
    <r>
      <t>φ</t>
    </r>
    <r>
      <rPr>
        <b/>
        <vertAlign val="subscript"/>
        <sz val="13"/>
        <color theme="1"/>
        <rFont val="Times New Roman"/>
        <family val="1"/>
      </rPr>
      <t>b</t>
    </r>
    <r>
      <rPr>
        <b/>
        <sz val="13"/>
        <color theme="1"/>
        <rFont val="Times New Roman"/>
        <family val="1"/>
      </rPr>
      <t>.λ</t>
    </r>
  </si>
  <si>
    <r>
      <t>.λ</t>
    </r>
    <r>
      <rPr>
        <b/>
        <vertAlign val="super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 xml:space="preserve">         - </t>
    </r>
  </si>
  <si>
    <r>
      <t>C = λ.Z</t>
    </r>
    <r>
      <rPr>
        <b/>
        <vertAlign val="subscript"/>
        <sz val="13"/>
        <color theme="1"/>
        <rFont val="Times New Roman"/>
        <family val="1"/>
      </rPr>
      <t>1</t>
    </r>
    <r>
      <rPr>
        <b/>
        <sz val="13"/>
        <color theme="1"/>
        <rFont val="Times New Roman"/>
        <family val="1"/>
      </rPr>
      <t xml:space="preserve"> = </t>
    </r>
  </si>
  <si>
    <r>
      <t>A</t>
    </r>
    <r>
      <rPr>
        <vertAlign val="subscript"/>
        <sz val="13"/>
        <color theme="1"/>
        <rFont val="Times New Roman"/>
        <family val="1"/>
      </rPr>
      <t>s,1</t>
    </r>
    <r>
      <rPr>
        <sz val="13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(cm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  <r>
      <rPr>
        <sz val="13"/>
        <color theme="1"/>
        <rFont val="Times New Roman"/>
        <family val="1"/>
      </rPr>
      <t xml:space="preserve"> = </t>
    </r>
  </si>
  <si>
    <t>- Kiểm tra độ bền các tiết diện không gian:</t>
  </si>
  <si>
    <r>
      <t>h</t>
    </r>
    <r>
      <rPr>
        <b/>
        <vertAlign val="subscript"/>
        <sz val="13"/>
        <color theme="1"/>
        <rFont val="Times New Roman"/>
        <family val="1"/>
      </rPr>
      <t>0,1</t>
    </r>
    <r>
      <rPr>
        <b/>
        <sz val="13"/>
        <color theme="1"/>
        <rFont val="Times New Roman"/>
        <family val="1"/>
      </rPr>
      <t xml:space="preserve"> </t>
    </r>
    <r>
      <rPr>
        <sz val="13"/>
        <color theme="1"/>
        <rFont val="Times New Roman"/>
        <family val="1"/>
      </rPr>
      <t>(cm)</t>
    </r>
    <r>
      <rPr>
        <b/>
        <sz val="13"/>
        <color theme="1"/>
        <rFont val="Times New Roman"/>
        <family val="1"/>
      </rPr>
      <t xml:space="preserve"> = </t>
    </r>
  </si>
  <si>
    <r>
      <t>h</t>
    </r>
    <r>
      <rPr>
        <b/>
        <vertAlign val="subscript"/>
        <sz val="13"/>
        <color theme="1"/>
        <rFont val="Times New Roman"/>
        <family val="1"/>
      </rPr>
      <t>0,2</t>
    </r>
    <r>
      <rPr>
        <b/>
        <sz val="13"/>
        <color theme="1"/>
        <rFont val="Times New Roman"/>
        <family val="1"/>
      </rPr>
      <t xml:space="preserve"> </t>
    </r>
    <r>
      <rPr>
        <sz val="13"/>
        <color theme="1"/>
        <rFont val="Times New Roman"/>
        <family val="1"/>
      </rPr>
      <t>(cm)</t>
    </r>
    <r>
      <rPr>
        <b/>
        <sz val="13"/>
        <color theme="1"/>
        <rFont val="Times New Roman"/>
        <family val="1"/>
      </rPr>
      <t xml:space="preserve"> = </t>
    </r>
  </si>
  <si>
    <r>
      <t>ξ</t>
    </r>
    <r>
      <rPr>
        <b/>
        <vertAlign val="subscript"/>
        <sz val="13"/>
        <color theme="1"/>
        <rFont val="Times New Roman"/>
        <family val="1"/>
      </rPr>
      <t>R</t>
    </r>
    <r>
      <rPr>
        <b/>
        <sz val="13"/>
        <color theme="1"/>
        <rFont val="Times New Roman"/>
        <family val="1"/>
      </rPr>
      <t>.h</t>
    </r>
    <r>
      <rPr>
        <b/>
        <vertAlign val="subscript"/>
        <sz val="13"/>
        <color theme="1"/>
        <rFont val="Times New Roman"/>
        <family val="1"/>
      </rPr>
      <t>0</t>
    </r>
    <r>
      <rPr>
        <vertAlign val="subscript"/>
        <sz val="13"/>
        <color theme="1"/>
        <rFont val="Times New Roman"/>
        <family val="1"/>
      </rPr>
      <t>,2</t>
    </r>
    <r>
      <rPr>
        <sz val="11"/>
        <color theme="1"/>
        <rFont val="Times New Roman"/>
        <family val="1"/>
      </rPr>
      <t xml:space="preserve"> = </t>
    </r>
  </si>
  <si>
    <r>
      <t>ξ</t>
    </r>
    <r>
      <rPr>
        <b/>
        <vertAlign val="subscript"/>
        <sz val="13"/>
        <color theme="1"/>
        <rFont val="Times New Roman"/>
        <family val="1"/>
      </rPr>
      <t>R</t>
    </r>
    <r>
      <rPr>
        <b/>
        <sz val="13"/>
        <color theme="1"/>
        <rFont val="Times New Roman"/>
        <family val="1"/>
      </rPr>
      <t>.h</t>
    </r>
    <r>
      <rPr>
        <b/>
        <vertAlign val="subscript"/>
        <sz val="13"/>
        <color theme="1"/>
        <rFont val="Times New Roman"/>
        <family val="1"/>
      </rPr>
      <t>0</t>
    </r>
    <r>
      <rPr>
        <vertAlign val="subscript"/>
        <sz val="13"/>
        <color theme="1"/>
        <rFont val="Times New Roman"/>
        <family val="1"/>
      </rPr>
      <t>,1</t>
    </r>
    <r>
      <rPr>
        <sz val="11"/>
        <color theme="1"/>
        <rFont val="Times New Roman"/>
        <family val="1"/>
      </rPr>
      <t xml:space="preserve"> = </t>
    </r>
  </si>
  <si>
    <r>
      <t>φ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>.R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>.A</t>
    </r>
    <r>
      <rPr>
        <b/>
        <vertAlign val="subscript"/>
        <sz val="13"/>
        <color theme="1"/>
        <rFont val="Times New Roman"/>
        <family val="1"/>
      </rPr>
      <t>s,1</t>
    </r>
    <r>
      <rPr>
        <b/>
        <sz val="13"/>
        <color theme="1"/>
        <rFont val="Times New Roman"/>
        <family val="1"/>
      </rPr>
      <t>.(1 + φ</t>
    </r>
    <r>
      <rPr>
        <b/>
        <vertAlign val="subscript"/>
        <sz val="13"/>
        <color theme="1"/>
        <rFont val="Times New Roman"/>
        <family val="1"/>
      </rPr>
      <t>w</t>
    </r>
    <r>
      <rPr>
        <b/>
        <sz val="13"/>
        <color theme="1"/>
        <rFont val="Times New Roman"/>
        <family val="1"/>
      </rPr>
      <t>.</t>
    </r>
    <r>
      <rPr>
        <b/>
        <sz val="13"/>
        <color theme="1"/>
        <rFont val="Calibri"/>
        <family val="2"/>
      </rPr>
      <t>δ</t>
    </r>
    <r>
      <rPr>
        <b/>
        <sz val="13"/>
        <color theme="1"/>
        <rFont val="Times New Roman"/>
        <family val="1"/>
      </rPr>
      <t>.λ</t>
    </r>
    <r>
      <rPr>
        <b/>
        <vertAlign val="super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>).(h</t>
    </r>
    <r>
      <rPr>
        <b/>
        <vertAlign val="subscript"/>
        <sz val="13"/>
        <color theme="1"/>
        <rFont val="Times New Roman"/>
        <family val="1"/>
      </rPr>
      <t>0,1</t>
    </r>
    <r>
      <rPr>
        <b/>
        <sz val="13"/>
        <color theme="1"/>
        <rFont val="Times New Roman"/>
        <family val="1"/>
      </rPr>
      <t xml:space="preserve"> - 0,5.x)</t>
    </r>
  </si>
  <si>
    <r>
      <t>φ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>.R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>.A</t>
    </r>
    <r>
      <rPr>
        <b/>
        <vertAlign val="subscript"/>
        <sz val="13"/>
        <color theme="1"/>
        <rFont val="Times New Roman"/>
        <family val="1"/>
      </rPr>
      <t>s,1</t>
    </r>
    <r>
      <rPr>
        <b/>
        <sz val="13"/>
        <color theme="1"/>
        <rFont val="Times New Roman"/>
        <family val="1"/>
      </rPr>
      <t>.(1 + φ</t>
    </r>
    <r>
      <rPr>
        <b/>
        <vertAlign val="subscript"/>
        <sz val="13"/>
        <color theme="1"/>
        <rFont val="Times New Roman"/>
        <family val="1"/>
      </rPr>
      <t>w</t>
    </r>
    <r>
      <rPr>
        <b/>
        <sz val="13"/>
        <color theme="1"/>
        <rFont val="Times New Roman"/>
        <family val="1"/>
      </rPr>
      <t>.</t>
    </r>
    <r>
      <rPr>
        <b/>
        <sz val="13"/>
        <color theme="1"/>
        <rFont val="Calibri"/>
        <family val="2"/>
      </rPr>
      <t>δ</t>
    </r>
    <r>
      <rPr>
        <b/>
        <sz val="13"/>
        <color theme="1"/>
        <rFont val="Times New Roman"/>
        <family val="1"/>
      </rPr>
      <t>.λ</t>
    </r>
    <r>
      <rPr>
        <b/>
        <vertAlign val="superscript"/>
        <sz val="13"/>
        <color theme="1"/>
        <rFont val="Times New Roman"/>
        <family val="1"/>
      </rPr>
      <t>2</t>
    </r>
    <r>
      <rPr>
        <b/>
        <sz val="13"/>
        <color theme="1"/>
        <rFont val="Times New Roman"/>
        <family val="1"/>
      </rPr>
      <t>).(h</t>
    </r>
    <r>
      <rPr>
        <b/>
        <vertAlign val="subscript"/>
        <sz val="13"/>
        <color theme="1"/>
        <rFont val="Times New Roman"/>
        <family val="1"/>
      </rPr>
      <t>0,2</t>
    </r>
    <r>
      <rPr>
        <b/>
        <sz val="13"/>
        <color theme="1"/>
        <rFont val="Times New Roman"/>
        <family val="1"/>
      </rPr>
      <t xml:space="preserve"> - 0,5.x)</t>
    </r>
  </si>
  <si>
    <r>
      <t>N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 xml:space="preserve"> = φ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>.R</t>
    </r>
    <r>
      <rPr>
        <b/>
        <vertAlign val="subscript"/>
        <sz val="13"/>
        <color theme="1"/>
        <rFont val="Times New Roman"/>
        <family val="1"/>
      </rPr>
      <t>s</t>
    </r>
    <r>
      <rPr>
        <b/>
        <sz val="13"/>
        <color theme="1"/>
        <rFont val="Times New Roman"/>
        <family val="1"/>
      </rPr>
      <t>.A</t>
    </r>
    <r>
      <rPr>
        <b/>
        <vertAlign val="subscript"/>
        <sz val="13"/>
        <color theme="1"/>
        <rFont val="Times New Roman"/>
        <family val="1"/>
      </rPr>
      <t>s,1</t>
    </r>
    <r>
      <rPr>
        <b/>
        <sz val="13"/>
        <color theme="1"/>
        <rFont val="Times New Roman"/>
        <family val="1"/>
      </rPr>
      <t xml:space="preserve"> = </t>
    </r>
  </si>
  <si>
    <r>
      <t>h</t>
    </r>
    <r>
      <rPr>
        <b/>
        <vertAlign val="subscript"/>
        <sz val="13"/>
        <color theme="1"/>
        <rFont val="Times New Roman"/>
        <family val="1"/>
      </rPr>
      <t>0</t>
    </r>
    <r>
      <rPr>
        <b/>
        <sz val="13"/>
        <color theme="1"/>
        <rFont val="Times New Roman"/>
        <family val="1"/>
      </rPr>
      <t xml:space="preserve"> = </t>
    </r>
  </si>
  <si>
    <r>
      <t xml:space="preserve">a </t>
    </r>
    <r>
      <rPr>
        <sz val="13"/>
        <color theme="1"/>
        <rFont val="Times New Roman"/>
        <family val="1"/>
      </rPr>
      <t>(cm)</t>
    </r>
    <r>
      <rPr>
        <b/>
        <sz val="13"/>
        <color theme="1"/>
        <rFont val="Times New Roman"/>
        <family val="1"/>
      </rPr>
      <t xml:space="preserve"> = </t>
    </r>
  </si>
  <si>
    <r>
      <t xml:space="preserve">a' </t>
    </r>
    <r>
      <rPr>
        <sz val="13"/>
        <color theme="1"/>
        <rFont val="Times New Roman"/>
        <family val="1"/>
      </rPr>
      <t xml:space="preserve">(cm) </t>
    </r>
    <r>
      <rPr>
        <b/>
        <sz val="13"/>
        <color theme="1"/>
        <rFont val="Times New Roman"/>
        <family val="1"/>
      </rPr>
      <t xml:space="preserve">= </t>
    </r>
  </si>
  <si>
    <r>
      <t>λ</t>
    </r>
    <r>
      <rPr>
        <vertAlign val="subscript"/>
        <sz val="13"/>
        <color theme="1"/>
        <rFont val="Times New Roman"/>
        <family val="1"/>
      </rPr>
      <t>1</t>
    </r>
  </si>
  <si>
    <r>
      <t>λ</t>
    </r>
    <r>
      <rPr>
        <vertAlign val="subscript"/>
        <sz val="13"/>
        <color theme="1"/>
        <rFont val="Times New Roman"/>
        <family val="1"/>
      </rPr>
      <t>2</t>
    </r>
  </si>
  <si>
    <t>Tính λ (6.1)</t>
  </si>
  <si>
    <t>Giới hạn C (6.1)</t>
  </si>
  <si>
    <t>Giới hạn C (6.2)</t>
  </si>
  <si>
    <r>
      <t>M</t>
    </r>
    <r>
      <rPr>
        <vertAlign val="subscript"/>
        <sz val="13"/>
        <color theme="1"/>
        <rFont val="Times New Roman"/>
        <family val="1"/>
      </rPr>
      <t>gh,1</t>
    </r>
  </si>
  <si>
    <r>
      <t>M</t>
    </r>
    <r>
      <rPr>
        <vertAlign val="subscript"/>
        <sz val="13"/>
        <color theme="1"/>
        <rFont val="Times New Roman"/>
        <family val="1"/>
      </rPr>
      <t>gh,2</t>
    </r>
    <r>
      <rPr>
        <sz val="11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</si>
</sst>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0.000"/>
    <numFmt numFmtId="165" formatCode="&quot;Φ&quot;0"/>
    <numFmt numFmtId="166" formatCode="&quot;$&quot;#,##0;[Red]\-&quot;$&quot;#,##0"/>
    <numFmt numFmtId="167" formatCode="_-&quot;$&quot;* #,##0_-;\-&quot;$&quot;* #,##0_-;_-&quot;$&quot;* &quot;-&quot;_-;_-@_-"/>
    <numFmt numFmtId="168" formatCode="_-* #,##0_-;\-* #,##0_-;_-* &quot;-&quot;_-;_-@_-"/>
    <numFmt numFmtId="169" formatCode="_-&quot;$&quot;* #,##0.00_-;\-&quot;$&quot;* #,##0.00_-;_-&quot;$&quot;* &quot;-&quot;??_-;_-@_-"/>
    <numFmt numFmtId="170" formatCode="0.000%"/>
    <numFmt numFmtId="171" formatCode="#,##0\ &quot;$&quot;_);[Red]\(#,##0\ &quot;$&quot;\)"/>
    <numFmt numFmtId="172" formatCode="_(* #,##0.00000_);_(* \(#,##0.00000\);_(* &quot;-&quot;??_);_(@_)"/>
    <numFmt numFmtId="173" formatCode="_(* #,##0.000000_);_(* \(#,##0.000000\);_(* &quot;-&quot;??_);_(@_)"/>
    <numFmt numFmtId="174" formatCode="_(* #,##0.0000000_);_(* \(#,##0.0000000\);_(* &quot;-&quot;??_);_(@_)"/>
    <numFmt numFmtId="175" formatCode="&quot;$&quot;###,0&quot;.&quot;00_);[Red]\(&quot;$&quot;###,0&quot;.&quot;00\)"/>
    <numFmt numFmtId="176" formatCode="[$-1010000]d/m/yyyy;@"/>
    <numFmt numFmtId="177" formatCode="0.0"/>
    <numFmt numFmtId="178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2"/>
      <color theme="1"/>
      <name val="Times New Roman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4"/>
      <name val="뼻뮝"/>
      <family val="3"/>
    </font>
    <font>
      <sz val="12"/>
      <name val="바탕체"/>
      <family val="3"/>
    </font>
    <font>
      <sz val="12"/>
      <name val="뼻뮝"/>
      <family val="3"/>
    </font>
    <font>
      <b/>
      <sz val="9"/>
      <name val="Arial"/>
      <family val="2"/>
    </font>
    <font>
      <sz val="12"/>
      <name val="新細明體"/>
      <charset val="136"/>
    </font>
    <font>
      <sz val="12"/>
      <name val="Courier"/>
      <family val="3"/>
    </font>
    <font>
      <sz val="12"/>
      <name val="VNI-Times"/>
    </font>
    <font>
      <sz val="11"/>
      <name val="돋움"/>
      <family val="3"/>
    </font>
    <font>
      <sz val="10"/>
      <name val="굴림체"/>
      <family val="3"/>
    </font>
    <font>
      <sz val="10"/>
      <name val=" "/>
      <family val="1"/>
      <charset val="136"/>
    </font>
    <font>
      <sz val="12"/>
      <name val="Times New Roman"/>
      <family val="1"/>
    </font>
    <font>
      <sz val="10"/>
      <name val=".VnArial"/>
      <family val="2"/>
    </font>
    <font>
      <sz val="11"/>
      <color theme="1"/>
      <name val="Times New Roman"/>
      <family val="1"/>
    </font>
    <font>
      <b/>
      <sz val="11"/>
      <color rgb="FFFF0000"/>
      <name val="Arial"/>
      <family val="2"/>
    </font>
    <font>
      <b/>
      <sz val="13"/>
      <color theme="1"/>
      <name val="Times New Roman"/>
      <family val="1"/>
    </font>
    <font>
      <b/>
      <vertAlign val="subscript"/>
      <sz val="13"/>
      <color theme="1"/>
      <name val="Times New Roman"/>
      <family val="1"/>
    </font>
    <font>
      <i/>
      <sz val="13"/>
      <color theme="1"/>
      <name val="Times New Roman"/>
      <family val="1"/>
    </font>
    <font>
      <i/>
      <vertAlign val="superscript"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color rgb="FFFF0000"/>
      <name val="Times New Roman"/>
      <family val="1"/>
    </font>
    <font>
      <sz val="13"/>
      <name val="Times New Roman"/>
      <family val="1"/>
    </font>
    <font>
      <b/>
      <sz val="13"/>
      <color rgb="FF000099"/>
      <name val="Times New Roman"/>
      <family val="1"/>
    </font>
    <font>
      <b/>
      <sz val="13"/>
      <color rgb="FFFF0000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i/>
      <sz val="13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13"/>
      <name val="Times New Roman"/>
      <family val="1"/>
    </font>
    <font>
      <sz val="8"/>
      <name val="Calibri"/>
      <family val="2"/>
      <scheme val="minor"/>
    </font>
    <font>
      <b/>
      <vertAlign val="superscript"/>
      <sz val="13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sz val="13"/>
      <color theme="1"/>
      <name val="Times New Roman"/>
      <family val="2"/>
    </font>
    <font>
      <b/>
      <sz val="13"/>
      <color theme="1"/>
      <name val="Calibri"/>
      <family val="2"/>
    </font>
    <font>
      <vertAlign val="subscript"/>
      <sz val="13"/>
      <color theme="1"/>
      <name val="Times New Roman"/>
      <family val="1"/>
    </font>
    <font>
      <sz val="13"/>
      <color theme="1"/>
      <name val="Calibri"/>
      <family val="2"/>
    </font>
    <font>
      <b/>
      <vertAlign val="subscript"/>
      <sz val="13"/>
      <name val="Times New Roman"/>
      <family val="1"/>
    </font>
    <font>
      <i/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9" fillId="0" borderId="11" applyNumberFormat="0" applyAlignment="0" applyProtection="0">
      <alignment horizontal="left" vertical="center"/>
    </xf>
    <xf numFmtId="0" fontId="9" fillId="0" borderId="22">
      <alignment horizontal="left" vertical="center"/>
    </xf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11" fillId="0" borderId="0" applyNumberFormat="0" applyFont="0" applyFill="0" applyAlignment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>
      <alignment vertical="center"/>
    </xf>
    <xf numFmtId="40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174" fontId="18" fillId="0" borderId="0" applyFont="0" applyFill="0" applyBorder="0" applyAlignment="0" applyProtection="0"/>
    <xf numFmtId="170" fontId="19" fillId="0" borderId="0" applyFont="0" applyFill="0" applyBorder="0" applyAlignment="0" applyProtection="0"/>
    <xf numFmtId="173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0" fontId="20" fillId="0" borderId="0"/>
    <xf numFmtId="0" fontId="15" fillId="0" borderId="0" applyProtection="0"/>
    <xf numFmtId="168" fontId="16" fillId="0" borderId="0" applyFont="0" applyFill="0" applyBorder="0" applyAlignment="0" applyProtection="0"/>
    <xf numFmtId="40" fontId="17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17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0">
    <xf numFmtId="0" fontId="0" fillId="0" borderId="0" xfId="0"/>
    <xf numFmtId="0" fontId="2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1" fontId="2" fillId="0" borderId="0" xfId="0" applyNumberFormat="1" applyFont="1" applyBorder="1" applyAlignment="1">
      <alignment horizontal="center" vertical="center"/>
    </xf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3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2" fillId="0" borderId="23" xfId="0" applyFont="1" applyBorder="1"/>
    <xf numFmtId="0" fontId="24" fillId="0" borderId="0" xfId="0" applyFont="1" applyAlignment="1"/>
    <xf numFmtId="0" fontId="24" fillId="0" borderId="0" xfId="0" applyFont="1" applyAlignment="1">
      <alignment vertical="center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177" fontId="30" fillId="0" borderId="4" xfId="0" quotePrefix="1" applyNumberFormat="1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177" fontId="30" fillId="0" borderId="6" xfId="0" quotePrefix="1" applyNumberFormat="1" applyFont="1" applyBorder="1" applyAlignment="1">
      <alignment horizontal="center" vertical="center"/>
    </xf>
    <xf numFmtId="177" fontId="30" fillId="0" borderId="6" xfId="0" applyNumberFormat="1" applyFont="1" applyBorder="1" applyAlignment="1">
      <alignment horizontal="center" vertical="center"/>
    </xf>
    <xf numFmtId="2" fontId="30" fillId="0" borderId="6" xfId="0" quotePrefix="1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177" fontId="32" fillId="0" borderId="6" xfId="0" applyNumberFormat="1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177" fontId="31" fillId="0" borderId="6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11" fontId="30" fillId="0" borderId="6" xfId="0" applyNumberFormat="1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11" fontId="30" fillId="0" borderId="9" xfId="0" applyNumberFormat="1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6" fillId="0" borderId="28" xfId="0" quotePrefix="1" applyFont="1" applyBorder="1" applyAlignment="1">
      <alignment horizontal="center" vertical="center"/>
    </xf>
    <xf numFmtId="11" fontId="30" fillId="0" borderId="3" xfId="0" applyNumberFormat="1" applyFont="1" applyBorder="1" applyAlignment="1">
      <alignment horizontal="center" vertical="center"/>
    </xf>
    <xf numFmtId="0" fontId="26" fillId="0" borderId="29" xfId="0" quotePrefix="1" applyFont="1" applyBorder="1" applyAlignment="1">
      <alignment horizontal="center" vertical="center"/>
    </xf>
    <xf numFmtId="11" fontId="30" fillId="0" borderId="1" xfId="0" applyNumberFormat="1" applyFont="1" applyBorder="1" applyAlignment="1">
      <alignment horizontal="center" vertical="center"/>
    </xf>
    <xf numFmtId="11" fontId="31" fillId="0" borderId="1" xfId="0" applyNumberFormat="1" applyFont="1" applyBorder="1" applyAlignment="1">
      <alignment horizontal="center" vertical="center"/>
    </xf>
    <xf numFmtId="0" fontId="26" fillId="0" borderId="30" xfId="0" quotePrefix="1" applyFont="1" applyBorder="1" applyAlignment="1">
      <alignment horizontal="center" vertical="center"/>
    </xf>
    <xf numFmtId="11" fontId="31" fillId="0" borderId="8" xfId="0" applyNumberFormat="1" applyFont="1" applyBorder="1" applyAlignment="1">
      <alignment horizontal="center" vertical="center"/>
    </xf>
    <xf numFmtId="0" fontId="30" fillId="0" borderId="0" xfId="0" applyFont="1"/>
    <xf numFmtId="0" fontId="30" fillId="0" borderId="0" xfId="0" applyFont="1" applyBorder="1"/>
    <xf numFmtId="0" fontId="28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right" vertical="center"/>
    </xf>
    <xf numFmtId="0" fontId="32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178" fontId="24" fillId="0" borderId="1" xfId="0" applyNumberFormat="1" applyFont="1" applyBorder="1" applyAlignment="1">
      <alignment horizontal="center" vertical="center"/>
    </xf>
    <xf numFmtId="0" fontId="26" fillId="0" borderId="5" xfId="0" quotePrefix="1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178" fontId="24" fillId="0" borderId="6" xfId="0" applyNumberFormat="1" applyFont="1" applyBorder="1" applyAlignment="1">
      <alignment horizontal="center" vertical="center"/>
    </xf>
    <xf numFmtId="0" fontId="26" fillId="0" borderId="7" xfId="0" quotePrefix="1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1" fontId="34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/>
    </xf>
    <xf numFmtId="0" fontId="24" fillId="0" borderId="31" xfId="0" applyFont="1" applyBorder="1" applyAlignment="1">
      <alignment horizontal="center" vertical="center"/>
    </xf>
    <xf numFmtId="178" fontId="24" fillId="0" borderId="31" xfId="0" applyNumberFormat="1" applyFont="1" applyBorder="1" applyAlignment="1">
      <alignment horizontal="center" vertical="center"/>
    </xf>
    <xf numFmtId="0" fontId="26" fillId="0" borderId="0" xfId="0" quotePrefix="1" applyFont="1" applyBorder="1" applyAlignment="1">
      <alignment horizontal="center" vertical="center"/>
    </xf>
    <xf numFmtId="11" fontId="32" fillId="0" borderId="0" xfId="0" applyNumberFormat="1" applyFont="1" applyBorder="1" applyAlignment="1">
      <alignment horizontal="center" vertical="center"/>
    </xf>
    <xf numFmtId="177" fontId="32" fillId="0" borderId="0" xfId="0" quotePrefix="1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11" fontId="30" fillId="0" borderId="0" xfId="0" applyNumberFormat="1" applyFont="1" applyBorder="1" applyAlignment="1">
      <alignment horizontal="center" vertical="center"/>
    </xf>
    <xf numFmtId="177" fontId="30" fillId="0" borderId="0" xfId="0" quotePrefix="1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177" fontId="31" fillId="0" borderId="9" xfId="0" quotePrefix="1" applyNumberFormat="1" applyFont="1" applyBorder="1" applyAlignment="1">
      <alignment horizontal="center" vertical="center"/>
    </xf>
    <xf numFmtId="178" fontId="24" fillId="0" borderId="8" xfId="0" applyNumberFormat="1" applyFont="1" applyBorder="1" applyAlignment="1">
      <alignment horizontal="center" vertical="center"/>
    </xf>
    <xf numFmtId="178" fontId="24" fillId="0" borderId="33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30" fillId="0" borderId="32" xfId="0" applyFont="1" applyBorder="1"/>
    <xf numFmtId="0" fontId="34" fillId="0" borderId="0" xfId="0" applyFont="1" applyBorder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39" fillId="0" borderId="0" xfId="0" applyFont="1" applyFill="1" applyBorder="1" applyAlignment="1">
      <alignment vertical="center"/>
    </xf>
    <xf numFmtId="176" fontId="28" fillId="0" borderId="0" xfId="0" applyNumberFormat="1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horizontal="center" vertical="center"/>
    </xf>
    <xf numFmtId="0" fontId="30" fillId="0" borderId="35" xfId="0" applyFont="1" applyBorder="1"/>
    <xf numFmtId="0" fontId="26" fillId="0" borderId="34" xfId="0" applyFont="1" applyBorder="1" applyAlignment="1">
      <alignment horizontal="right"/>
    </xf>
    <xf numFmtId="0" fontId="30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2" fontId="30" fillId="0" borderId="0" xfId="0" applyNumberFormat="1" applyFont="1" applyBorder="1" applyAlignment="1">
      <alignment horizontal="center"/>
    </xf>
    <xf numFmtId="0" fontId="28" fillId="0" borderId="36" xfId="0" applyFont="1" applyBorder="1" applyAlignment="1">
      <alignment horizontal="center"/>
    </xf>
    <xf numFmtId="0" fontId="33" fillId="0" borderId="0" xfId="0" applyFont="1" applyBorder="1"/>
    <xf numFmtId="0" fontId="30" fillId="0" borderId="36" xfId="0" applyFont="1" applyBorder="1"/>
    <xf numFmtId="0" fontId="44" fillId="0" borderId="34" xfId="0" quotePrefix="1" applyFont="1" applyBorder="1"/>
    <xf numFmtId="0" fontId="30" fillId="0" borderId="34" xfId="0" applyFont="1" applyBorder="1"/>
    <xf numFmtId="0" fontId="26" fillId="0" borderId="0" xfId="0" applyFont="1" applyBorder="1" applyAlignment="1">
      <alignment horizontal="right"/>
    </xf>
    <xf numFmtId="0" fontId="30" fillId="0" borderId="34" xfId="0" quotePrefix="1" applyFont="1" applyBorder="1"/>
    <xf numFmtId="0" fontId="45" fillId="0" borderId="0" xfId="0" applyFont="1" applyBorder="1" applyAlignment="1">
      <alignment horizontal="right"/>
    </xf>
    <xf numFmtId="0" fontId="44" fillId="0" borderId="34" xfId="0" applyFont="1" applyBorder="1"/>
    <xf numFmtId="0" fontId="30" fillId="0" borderId="38" xfId="0" applyFont="1" applyBorder="1"/>
    <xf numFmtId="0" fontId="30" fillId="0" borderId="39" xfId="0" applyFont="1" applyBorder="1"/>
    <xf numFmtId="0" fontId="30" fillId="0" borderId="1" xfId="0" applyFont="1" applyBorder="1"/>
    <xf numFmtId="2" fontId="30" fillId="0" borderId="1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0" fillId="0" borderId="34" xfId="0" quotePrefix="1" applyFont="1" applyBorder="1" applyAlignment="1">
      <alignment horizontal="center"/>
    </xf>
    <xf numFmtId="0" fontId="34" fillId="0" borderId="0" xfId="0" applyFont="1" applyAlignment="1">
      <alignment horizontal="center" vertical="center"/>
    </xf>
    <xf numFmtId="0" fontId="33" fillId="0" borderId="38" xfId="0" applyFont="1" applyBorder="1"/>
    <xf numFmtId="0" fontId="30" fillId="0" borderId="1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26" fillId="0" borderId="0" xfId="0" applyFont="1" applyBorder="1" applyAlignment="1"/>
    <xf numFmtId="0" fontId="28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40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 vertical="center"/>
    </xf>
    <xf numFmtId="0" fontId="30" fillId="0" borderId="38" xfId="0" quotePrefix="1" applyFont="1" applyBorder="1" applyAlignment="1">
      <alignment horizontal="center"/>
    </xf>
    <xf numFmtId="2" fontId="30" fillId="0" borderId="1" xfId="0" applyNumberFormat="1" applyFont="1" applyBorder="1" applyAlignment="1">
      <alignment horizontal="center" vertical="center"/>
    </xf>
    <xf numFmtId="2" fontId="33" fillId="0" borderId="0" xfId="0" applyNumberFormat="1" applyFont="1" applyBorder="1" applyAlignment="1">
      <alignment horizontal="center"/>
    </xf>
    <xf numFmtId="0" fontId="26" fillId="0" borderId="0" xfId="0" applyFont="1" applyAlignment="1">
      <alignment horizontal="center" vertical="center"/>
    </xf>
    <xf numFmtId="0" fontId="26" fillId="0" borderId="38" xfId="0" applyFont="1" applyBorder="1" applyAlignment="1">
      <alignment horizontal="right"/>
    </xf>
    <xf numFmtId="0" fontId="43" fillId="0" borderId="1" xfId="0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30" fillId="0" borderId="32" xfId="0" applyFont="1" applyBorder="1" applyAlignment="1">
      <alignment horizontal="center"/>
    </xf>
    <xf numFmtId="0" fontId="26" fillId="0" borderId="21" xfId="0" applyFont="1" applyBorder="1" applyAlignment="1">
      <alignment vertical="center"/>
    </xf>
    <xf numFmtId="0" fontId="26" fillId="0" borderId="27" xfId="0" applyFont="1" applyBorder="1" applyAlignment="1">
      <alignment horizontal="right"/>
    </xf>
    <xf numFmtId="0" fontId="28" fillId="0" borderId="32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2" fontId="30" fillId="0" borderId="32" xfId="0" applyNumberFormat="1" applyFont="1" applyBorder="1" applyAlignment="1">
      <alignment horizontal="center"/>
    </xf>
    <xf numFmtId="0" fontId="30" fillId="0" borderId="37" xfId="0" applyFont="1" applyBorder="1"/>
    <xf numFmtId="0" fontId="30" fillId="0" borderId="34" xfId="0" quotePrefix="1" applyFont="1" applyBorder="1" applyAlignment="1">
      <alignment horizontal="left"/>
    </xf>
    <xf numFmtId="0" fontId="30" fillId="0" borderId="0" xfId="0" applyFont="1" applyAlignment="1">
      <alignment horizontal="center" vertical="center"/>
    </xf>
    <xf numFmtId="2" fontId="32" fillId="0" borderId="1" xfId="0" applyNumberFormat="1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2" fontId="32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30" fillId="0" borderId="0" xfId="0" quotePrefix="1" applyFont="1" applyBorder="1"/>
    <xf numFmtId="0" fontId="30" fillId="0" borderId="27" xfId="0" quotePrefix="1" applyFont="1" applyBorder="1"/>
    <xf numFmtId="0" fontId="30" fillId="0" borderId="37" xfId="0" quotePrefix="1" applyFont="1" applyBorder="1" applyAlignment="1">
      <alignment horizontal="left"/>
    </xf>
    <xf numFmtId="0" fontId="44" fillId="0" borderId="0" xfId="0" quotePrefix="1" applyFont="1" applyBorder="1"/>
    <xf numFmtId="0" fontId="30" fillId="0" borderId="0" xfId="0" quotePrefix="1" applyFont="1" applyBorder="1" applyAlignment="1">
      <alignment horizontal="center"/>
    </xf>
    <xf numFmtId="0" fontId="26" fillId="0" borderId="32" xfId="0" applyFont="1" applyBorder="1" applyAlignment="1">
      <alignment horizontal="right"/>
    </xf>
    <xf numFmtId="0" fontId="31" fillId="0" borderId="36" xfId="0" applyFont="1" applyBorder="1"/>
    <xf numFmtId="164" fontId="30" fillId="0" borderId="0" xfId="0" applyNumberFormat="1" applyFont="1" applyBorder="1" applyAlignment="1">
      <alignment horizontal="center"/>
    </xf>
    <xf numFmtId="164" fontId="30" fillId="0" borderId="36" xfId="0" applyNumberFormat="1" applyFont="1" applyBorder="1" applyAlignment="1">
      <alignment horizontal="center"/>
    </xf>
    <xf numFmtId="0" fontId="28" fillId="0" borderId="36" xfId="0" applyFont="1" applyBorder="1"/>
    <xf numFmtId="0" fontId="30" fillId="0" borderId="0" xfId="0" applyFont="1" applyBorder="1" applyAlignment="1">
      <alignment horizontal="right"/>
    </xf>
    <xf numFmtId="0" fontId="30" fillId="0" borderId="0" xfId="0" applyFont="1" applyBorder="1" applyAlignment="1"/>
    <xf numFmtId="177" fontId="30" fillId="0" borderId="34" xfId="0" applyNumberFormat="1" applyFont="1" applyBorder="1"/>
    <xf numFmtId="0" fontId="26" fillId="0" borderId="0" xfId="0" applyFont="1" applyBorder="1"/>
    <xf numFmtId="0" fontId="30" fillId="0" borderId="36" xfId="0" quotePrefix="1" applyFont="1" applyBorder="1"/>
    <xf numFmtId="0" fontId="33" fillId="0" borderId="0" xfId="0" applyFont="1" applyBorder="1" applyAlignment="1">
      <alignment horizontal="center"/>
    </xf>
    <xf numFmtId="0" fontId="26" fillId="0" borderId="0" xfId="0" applyFont="1" applyBorder="1" applyAlignment="1">
      <alignment horizontal="left"/>
    </xf>
    <xf numFmtId="177" fontId="30" fillId="0" borderId="0" xfId="0" applyNumberFormat="1" applyFont="1" applyBorder="1" applyAlignment="1"/>
    <xf numFmtId="0" fontId="44" fillId="0" borderId="27" xfId="0" quotePrefix="1" applyFont="1" applyBorder="1"/>
    <xf numFmtId="0" fontId="28" fillId="0" borderId="4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177" fontId="30" fillId="0" borderId="34" xfId="0" applyNumberFormat="1" applyFont="1" applyBorder="1" applyAlignment="1">
      <alignment horizontal="right"/>
    </xf>
    <xf numFmtId="177" fontId="30" fillId="0" borderId="0" xfId="0" applyNumberFormat="1" applyFont="1" applyBorder="1" applyAlignment="1">
      <alignment horizontal="right"/>
    </xf>
    <xf numFmtId="177" fontId="30" fillId="0" borderId="0" xfId="0" applyNumberFormat="1" applyFont="1" applyBorder="1" applyAlignment="1">
      <alignment horizontal="center"/>
    </xf>
    <xf numFmtId="0" fontId="30" fillId="0" borderId="31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77" fontId="30" fillId="0" borderId="38" xfId="0" applyNumberFormat="1" applyFont="1" applyBorder="1" applyAlignment="1">
      <alignment horizontal="left"/>
    </xf>
    <xf numFmtId="0" fontId="26" fillId="0" borderId="34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3" borderId="1" xfId="0" applyFont="1" applyFill="1" applyBorder="1" applyAlignment="1">
      <alignment horizontal="center" vertical="center"/>
    </xf>
    <xf numFmtId="0" fontId="26" fillId="3" borderId="21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/>
    </xf>
    <xf numFmtId="0" fontId="30" fillId="0" borderId="32" xfId="0" applyFont="1" applyBorder="1" applyAlignment="1">
      <alignment horizontal="center"/>
    </xf>
    <xf numFmtId="0" fontId="30" fillId="0" borderId="35" xfId="0" applyFont="1" applyBorder="1" applyAlignment="1">
      <alignment horizontal="center"/>
    </xf>
    <xf numFmtId="0" fontId="30" fillId="0" borderId="34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6" xfId="0" applyFont="1" applyBorder="1" applyAlignment="1">
      <alignment horizontal="center"/>
    </xf>
    <xf numFmtId="0" fontId="30" fillId="0" borderId="37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0" fillId="0" borderId="39" xfId="0" applyFont="1" applyBorder="1" applyAlignment="1">
      <alignment horizontal="center"/>
    </xf>
    <xf numFmtId="0" fontId="26" fillId="0" borderId="27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39" xfId="0" applyFont="1" applyBorder="1" applyAlignment="1">
      <alignment horizontal="center" vertical="center"/>
    </xf>
    <xf numFmtId="0" fontId="26" fillId="3" borderId="31" xfId="0" applyFont="1" applyFill="1" applyBorder="1" applyAlignment="1">
      <alignment horizontal="center" vertical="center"/>
    </xf>
    <xf numFmtId="0" fontId="26" fillId="3" borderId="22" xfId="0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/>
    </xf>
    <xf numFmtId="0" fontId="26" fillId="3" borderId="37" xfId="0" applyFont="1" applyFill="1" applyBorder="1" applyAlignment="1">
      <alignment horizontal="center" vertical="center"/>
    </xf>
    <xf numFmtId="0" fontId="26" fillId="3" borderId="38" xfId="0" applyFont="1" applyFill="1" applyBorder="1" applyAlignment="1">
      <alignment horizontal="center" vertical="center"/>
    </xf>
    <xf numFmtId="0" fontId="26" fillId="3" borderId="39" xfId="0" applyFont="1" applyFill="1" applyBorder="1" applyAlignment="1">
      <alignment horizontal="center" vertical="center"/>
    </xf>
    <xf numFmtId="2" fontId="30" fillId="0" borderId="21" xfId="0" applyNumberFormat="1" applyFont="1" applyBorder="1" applyAlignment="1">
      <alignment horizontal="center" vertical="center"/>
    </xf>
    <xf numFmtId="2" fontId="30" fillId="0" borderId="40" xfId="0" applyNumberFormat="1" applyFont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/>
    </xf>
    <xf numFmtId="0" fontId="26" fillId="4" borderId="31" xfId="0" applyFont="1" applyFill="1" applyBorder="1" applyAlignment="1">
      <alignment horizontal="center" vertical="center"/>
    </xf>
    <xf numFmtId="0" fontId="26" fillId="4" borderId="22" xfId="0" applyFont="1" applyFill="1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3" fillId="0" borderId="31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26" fillId="4" borderId="27" xfId="0" applyFont="1" applyFill="1" applyBorder="1" applyAlignment="1">
      <alignment horizontal="center" vertical="center"/>
    </xf>
    <xf numFmtId="0" fontId="26" fillId="4" borderId="32" xfId="0" applyFont="1" applyFill="1" applyBorder="1" applyAlignment="1">
      <alignment horizontal="center" vertical="center"/>
    </xf>
    <xf numFmtId="0" fontId="26" fillId="4" borderId="35" xfId="0" applyFont="1" applyFill="1" applyBorder="1" applyAlignment="1">
      <alignment horizontal="center" vertical="center"/>
    </xf>
    <xf numFmtId="0" fontId="26" fillId="4" borderId="37" xfId="0" applyFont="1" applyFill="1" applyBorder="1" applyAlignment="1">
      <alignment horizontal="center" vertical="center"/>
    </xf>
    <xf numFmtId="0" fontId="26" fillId="4" borderId="38" xfId="0" applyFont="1" applyFill="1" applyBorder="1" applyAlignment="1">
      <alignment horizontal="center" vertical="center"/>
    </xf>
    <xf numFmtId="0" fontId="26" fillId="4" borderId="39" xfId="0" applyFont="1" applyFill="1" applyBorder="1" applyAlignment="1">
      <alignment horizontal="center" vertical="center"/>
    </xf>
    <xf numFmtId="1" fontId="40" fillId="4" borderId="1" xfId="0" applyNumberFormat="1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left" vertical="center" wrapText="1"/>
    </xf>
    <xf numFmtId="0" fontId="26" fillId="0" borderId="32" xfId="0" applyFont="1" applyBorder="1" applyAlignment="1">
      <alignment horizontal="center"/>
    </xf>
  </cellXfs>
  <cellStyles count="39">
    <cellStyle name="Header1" xfId="5" xr:uid="{00000000-0005-0000-0000-000000000000}"/>
    <cellStyle name="Header2" xfId="6" xr:uid="{00000000-0005-0000-0000-000001000000}"/>
    <cellStyle name="Millares [0]_Well Timing" xfId="7" xr:uid="{00000000-0005-0000-0000-000002000000}"/>
    <cellStyle name="Millares_Well Timing" xfId="8" xr:uid="{00000000-0005-0000-0000-000003000000}"/>
    <cellStyle name="Moneda [0]_Well Timing" xfId="9" xr:uid="{00000000-0005-0000-0000-000004000000}"/>
    <cellStyle name="Moneda_Well Timing" xfId="10" xr:uid="{00000000-0005-0000-0000-000005000000}"/>
    <cellStyle name="n" xfId="11" xr:uid="{00000000-0005-0000-0000-000006000000}"/>
    <cellStyle name="Normal" xfId="0" builtinId="0"/>
    <cellStyle name="Normal 18" xfId="33" xr:uid="{00000000-0005-0000-0000-000008000000}"/>
    <cellStyle name="Normal 2" xfId="2" xr:uid="{00000000-0005-0000-0000-000009000000}"/>
    <cellStyle name="Normal 20" xfId="34" xr:uid="{00000000-0005-0000-0000-00000A000000}"/>
    <cellStyle name="Normal 3" xfId="3" xr:uid="{00000000-0005-0000-0000-00000B000000}"/>
    <cellStyle name="Normal 38" xfId="35" xr:uid="{00000000-0005-0000-0000-00000C000000}"/>
    <cellStyle name="Normal 39" xfId="36" xr:uid="{00000000-0005-0000-0000-00000D000000}"/>
    <cellStyle name="Normal 4" xfId="4" xr:uid="{00000000-0005-0000-0000-00000E000000}"/>
    <cellStyle name="Normal 40" xfId="37" xr:uid="{00000000-0005-0000-0000-00000F000000}"/>
    <cellStyle name="Normal 41" xfId="38" xr:uid="{00000000-0005-0000-0000-000010000000}"/>
    <cellStyle name="Normal 5" xfId="1" xr:uid="{00000000-0005-0000-0000-000011000000}"/>
    <cellStyle name="Normal 6" xfId="32" xr:uid="{00000000-0005-0000-0000-000012000000}"/>
    <cellStyle name=" [0.00]_ Att. 1- Cover" xfId="12" xr:uid="{00000000-0005-0000-0000-000013000000}"/>
    <cellStyle name="_ Att. 1- Cover" xfId="13" xr:uid="{00000000-0005-0000-0000-000014000000}"/>
    <cellStyle name="?_ Att. 1- Cover" xfId="14" xr:uid="{00000000-0005-0000-0000-000015000000}"/>
    <cellStyle name="똿뗦먛귟 [0.00]_PRODUCT DETAIL Q1" xfId="15" xr:uid="{00000000-0005-0000-0000-000016000000}"/>
    <cellStyle name="똿뗦먛귟_PRODUCT DETAIL Q1" xfId="16" xr:uid="{00000000-0005-0000-0000-000017000000}"/>
    <cellStyle name="믅됞 [0.00]_PRODUCT DETAIL Q1" xfId="17" xr:uid="{00000000-0005-0000-0000-000018000000}"/>
    <cellStyle name="믅됞_PRODUCT DETAIL Q1" xfId="18" xr:uid="{00000000-0005-0000-0000-000019000000}"/>
    <cellStyle name="백분율_95" xfId="19" xr:uid="{00000000-0005-0000-0000-00001A000000}"/>
    <cellStyle name="뷭?_BOOKSHIP" xfId="20" xr:uid="{00000000-0005-0000-0000-00001B000000}"/>
    <cellStyle name="콤마 [0]_1202" xfId="21" xr:uid="{00000000-0005-0000-0000-00001C000000}"/>
    <cellStyle name="콤마_1202" xfId="22" xr:uid="{00000000-0005-0000-0000-00001D000000}"/>
    <cellStyle name="통화 [0]_1202" xfId="23" xr:uid="{00000000-0005-0000-0000-00001E000000}"/>
    <cellStyle name="통화_1202" xfId="24" xr:uid="{00000000-0005-0000-0000-00001F000000}"/>
    <cellStyle name="표준_(정보부문)월별인원계획" xfId="25" xr:uid="{00000000-0005-0000-0000-000020000000}"/>
    <cellStyle name="一般_99Q3647-ALL-CAS2" xfId="26" xr:uid="{00000000-0005-0000-0000-000021000000}"/>
    <cellStyle name="千分位[0]_Book1" xfId="27" xr:uid="{00000000-0005-0000-0000-000022000000}"/>
    <cellStyle name="千分位_99Q3647-ALL-CAS2" xfId="28" xr:uid="{00000000-0005-0000-0000-000023000000}"/>
    <cellStyle name="貨幣 [0]_Book1" xfId="29" xr:uid="{00000000-0005-0000-0000-000024000000}"/>
    <cellStyle name="貨幣[0]_BRE" xfId="30" xr:uid="{00000000-0005-0000-0000-000025000000}"/>
    <cellStyle name="貨幣_Book1" xfId="31" xr:uid="{00000000-0005-0000-0000-000026000000}"/>
  </cellStyles>
  <dxfs count="0"/>
  <tableStyles count="0" defaultTableStyle="TableStyleMedium2" defaultPivotStyle="PivotStyleLight16"/>
  <colors>
    <mruColors>
      <color rgb="FF000099"/>
      <color rgb="FFFF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14</xdr:row>
      <xdr:rowOff>76199</xdr:rowOff>
    </xdr:from>
    <xdr:to>
      <xdr:col>7</xdr:col>
      <xdr:colOff>472741</xdr:colOff>
      <xdr:row>22</xdr:row>
      <xdr:rowOff>200024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0" y="3943349"/>
          <a:ext cx="3930316" cy="2333625"/>
        </a:xfrm>
        <a:prstGeom prst="rect">
          <a:avLst/>
        </a:prstGeom>
      </xdr:spPr>
    </xdr:pic>
    <xdr:clientData/>
  </xdr:twoCellAnchor>
  <xdr:twoCellAnchor editAs="oneCell">
    <xdr:from>
      <xdr:col>10</xdr:col>
      <xdr:colOff>390525</xdr:colOff>
      <xdr:row>14</xdr:row>
      <xdr:rowOff>114300</xdr:rowOff>
    </xdr:from>
    <xdr:to>
      <xdr:col>15</xdr:col>
      <xdr:colOff>368171</xdr:colOff>
      <xdr:row>22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15275" y="3981450"/>
          <a:ext cx="3740021" cy="2286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74</xdr:row>
          <xdr:rowOff>142875</xdr:rowOff>
        </xdr:from>
        <xdr:to>
          <xdr:col>5</xdr:col>
          <xdr:colOff>647700</xdr:colOff>
          <xdr:row>76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74</xdr:row>
          <xdr:rowOff>180975</xdr:rowOff>
        </xdr:from>
        <xdr:to>
          <xdr:col>11</xdr:col>
          <xdr:colOff>685800</xdr:colOff>
          <xdr:row>76</xdr:row>
          <xdr:rowOff>133350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35"/>
  <sheetViews>
    <sheetView zoomScaleNormal="100" workbookViewId="0">
      <selection activeCell="M26" sqref="M26"/>
    </sheetView>
  </sheetViews>
  <sheetFormatPr defaultColWidth="10.7109375" defaultRowHeight="18" customHeight="1"/>
  <cols>
    <col min="1" max="1" width="12.7109375" style="1" customWidth="1"/>
    <col min="2" max="5" width="10.7109375" style="1"/>
    <col min="6" max="6" width="12.7109375" style="1" customWidth="1"/>
    <col min="7" max="7" width="10.7109375" style="10"/>
    <col min="8" max="8" width="10.7109375" style="1"/>
    <col min="9" max="9" width="12.7109375" style="1" customWidth="1"/>
    <col min="10" max="12" width="10.7109375" style="1"/>
    <col min="13" max="15" width="10.7109375" style="1" customWidth="1"/>
    <col min="16" max="16" width="16.7109375" style="1" customWidth="1"/>
    <col min="17" max="17" width="10.7109375" style="1" customWidth="1"/>
    <col min="18" max="18" width="24.85546875" style="1" customWidth="1"/>
    <col min="19" max="16384" width="10.7109375" style="1"/>
  </cols>
  <sheetData>
    <row r="1" spans="1:25" ht="18" customHeight="1" thickBot="1">
      <c r="A1" s="186" t="s">
        <v>0</v>
      </c>
      <c r="B1" s="187"/>
      <c r="C1" s="187"/>
      <c r="D1" s="187"/>
      <c r="E1" s="187"/>
      <c r="F1" s="187"/>
      <c r="G1" s="188"/>
      <c r="H1" s="2"/>
      <c r="I1" s="2"/>
      <c r="J1" s="2"/>
      <c r="K1" s="2"/>
      <c r="M1" s="16"/>
      <c r="N1" s="197" t="s">
        <v>1</v>
      </c>
      <c r="O1" s="193" t="s">
        <v>68</v>
      </c>
      <c r="P1" s="193"/>
      <c r="Q1" s="194"/>
      <c r="R1" s="191" t="s">
        <v>70</v>
      </c>
      <c r="S1" s="23"/>
      <c r="T1" s="16"/>
      <c r="U1" s="16"/>
      <c r="V1" s="16"/>
      <c r="W1" s="24"/>
      <c r="X1" s="24"/>
      <c r="Y1" s="24"/>
    </row>
    <row r="2" spans="1:25" ht="18" customHeight="1">
      <c r="A2" s="199" t="s">
        <v>1</v>
      </c>
      <c r="B2" s="25" t="s">
        <v>47</v>
      </c>
      <c r="C2" s="26" t="s">
        <v>48</v>
      </c>
      <c r="D2" s="26" t="s">
        <v>49</v>
      </c>
      <c r="E2" s="26" t="s">
        <v>50</v>
      </c>
      <c r="F2" s="27" t="s">
        <v>51</v>
      </c>
      <c r="G2" s="28" t="s">
        <v>52</v>
      </c>
      <c r="H2" s="2"/>
      <c r="I2" s="2"/>
      <c r="J2" s="2"/>
      <c r="K2" s="2"/>
      <c r="M2" s="16"/>
      <c r="N2" s="198"/>
      <c r="O2" s="195"/>
      <c r="P2" s="195"/>
      <c r="Q2" s="196"/>
      <c r="R2" s="192"/>
      <c r="S2" s="23"/>
      <c r="T2" s="17"/>
      <c r="U2" s="16"/>
      <c r="V2" s="16"/>
      <c r="W2" s="24"/>
      <c r="X2" s="24"/>
      <c r="Y2" s="24"/>
    </row>
    <row r="3" spans="1:25" ht="18" customHeight="1" thickBot="1">
      <c r="A3" s="200"/>
      <c r="B3" s="53" t="s">
        <v>53</v>
      </c>
      <c r="C3" s="54" t="s">
        <v>53</v>
      </c>
      <c r="D3" s="54" t="s">
        <v>53</v>
      </c>
      <c r="E3" s="54" t="s">
        <v>53</v>
      </c>
      <c r="F3" s="55" t="s">
        <v>53</v>
      </c>
      <c r="G3" s="56" t="s">
        <v>54</v>
      </c>
      <c r="H3" s="2"/>
      <c r="M3" s="18"/>
      <c r="N3" s="198"/>
      <c r="O3" s="70" t="s">
        <v>65</v>
      </c>
      <c r="P3" s="70" t="s">
        <v>66</v>
      </c>
      <c r="Q3" s="81" t="s">
        <v>67</v>
      </c>
      <c r="R3" s="192"/>
      <c r="S3" s="23"/>
      <c r="T3" s="16"/>
      <c r="U3" s="16"/>
      <c r="V3" s="16"/>
      <c r="W3" s="24"/>
      <c r="X3" s="24"/>
      <c r="Y3" s="24"/>
    </row>
    <row r="4" spans="1:25" ht="18" customHeight="1">
      <c r="A4" s="57" t="s">
        <v>31</v>
      </c>
      <c r="B4" s="32">
        <v>21</v>
      </c>
      <c r="C4" s="33">
        <v>2.6</v>
      </c>
      <c r="D4" s="33">
        <v>27</v>
      </c>
      <c r="E4" s="33">
        <v>3.9</v>
      </c>
      <c r="F4" s="58">
        <v>95000</v>
      </c>
      <c r="G4" s="34" t="s">
        <v>38</v>
      </c>
      <c r="H4" s="2"/>
      <c r="M4" s="16"/>
      <c r="N4" s="73" t="s">
        <v>31</v>
      </c>
      <c r="O4" s="71">
        <v>5.5999999999999999E-3</v>
      </c>
      <c r="P4" s="71">
        <v>4.7999999999999996E-3</v>
      </c>
      <c r="Q4" s="82">
        <v>4.1999999999999997E-3</v>
      </c>
      <c r="R4" s="74">
        <v>3.5000000000000001E-3</v>
      </c>
      <c r="S4" s="18"/>
      <c r="T4" s="16"/>
      <c r="U4" s="16"/>
      <c r="V4" s="16"/>
      <c r="W4" s="16"/>
      <c r="X4" s="16"/>
      <c r="Y4" s="16"/>
    </row>
    <row r="5" spans="1:25" ht="18" customHeight="1" thickBot="1">
      <c r="A5" s="59" t="s">
        <v>5</v>
      </c>
      <c r="B5" s="35">
        <v>28</v>
      </c>
      <c r="C5" s="80">
        <v>3.7</v>
      </c>
      <c r="D5" s="37">
        <v>35</v>
      </c>
      <c r="E5" s="80">
        <v>5.5</v>
      </c>
      <c r="F5" s="60">
        <v>130000</v>
      </c>
      <c r="G5" s="38" t="s">
        <v>38</v>
      </c>
      <c r="H5" s="2"/>
      <c r="M5" s="16"/>
      <c r="N5" s="73" t="s">
        <v>5</v>
      </c>
      <c r="O5" s="71">
        <v>5.5999999999999999E-3</v>
      </c>
      <c r="P5" s="71">
        <v>4.7999999999999996E-3</v>
      </c>
      <c r="Q5" s="82">
        <v>4.1999999999999997E-3</v>
      </c>
      <c r="R5" s="74">
        <v>3.5000000000000001E-3</v>
      </c>
      <c r="S5" s="18"/>
      <c r="T5" s="16"/>
      <c r="U5" s="16"/>
      <c r="V5" s="16"/>
      <c r="W5" s="16"/>
      <c r="X5" s="16"/>
      <c r="Y5" s="16"/>
    </row>
    <row r="6" spans="1:25" ht="18" customHeight="1" thickBot="1">
      <c r="A6" s="59" t="s">
        <v>33</v>
      </c>
      <c r="B6" s="35">
        <v>45</v>
      </c>
      <c r="C6" s="80">
        <v>4.8</v>
      </c>
      <c r="D6" s="80">
        <v>55</v>
      </c>
      <c r="E6" s="80">
        <v>7</v>
      </c>
      <c r="F6" s="60">
        <v>160000</v>
      </c>
      <c r="G6" s="38" t="s">
        <v>38</v>
      </c>
      <c r="H6" s="2"/>
      <c r="I6" s="8" t="s">
        <v>12</v>
      </c>
      <c r="J6" s="189" t="s">
        <v>3</v>
      </c>
      <c r="K6" s="190"/>
      <c r="L6" s="22" t="s">
        <v>39</v>
      </c>
      <c r="M6" s="16"/>
      <c r="N6" s="73" t="s">
        <v>33</v>
      </c>
      <c r="O6" s="71">
        <v>5.5999999999999999E-3</v>
      </c>
      <c r="P6" s="71">
        <v>4.7999999999999996E-3</v>
      </c>
      <c r="Q6" s="82">
        <v>4.1999999999999997E-3</v>
      </c>
      <c r="R6" s="74">
        <v>3.5000000000000001E-3</v>
      </c>
      <c r="S6" s="18"/>
      <c r="T6" s="16"/>
      <c r="U6" s="16"/>
      <c r="V6" s="16"/>
      <c r="W6" s="16"/>
      <c r="X6" s="16"/>
      <c r="Y6" s="16"/>
    </row>
    <row r="7" spans="1:25" ht="18" customHeight="1">
      <c r="A7" s="59" t="s">
        <v>8</v>
      </c>
      <c r="B7" s="35">
        <v>60</v>
      </c>
      <c r="C7" s="37">
        <v>5.6</v>
      </c>
      <c r="D7" s="80">
        <v>75</v>
      </c>
      <c r="E7" s="80">
        <v>8.5</v>
      </c>
      <c r="F7" s="61">
        <v>190000</v>
      </c>
      <c r="G7" s="38" t="s">
        <v>38</v>
      </c>
      <c r="H7" s="2"/>
      <c r="I7" s="5" t="s">
        <v>4</v>
      </c>
      <c r="J7" s="11">
        <f>VLOOKUP($I$6,$A$4:$G$26,2,0)</f>
        <v>115</v>
      </c>
      <c r="K7" s="7" t="s">
        <v>2</v>
      </c>
      <c r="M7" s="16"/>
      <c r="N7" s="73" t="s">
        <v>8</v>
      </c>
      <c r="O7" s="71">
        <v>5.5999999999999999E-3</v>
      </c>
      <c r="P7" s="71">
        <v>4.7999999999999996E-3</v>
      </c>
      <c r="Q7" s="82">
        <v>4.1999999999999997E-3</v>
      </c>
      <c r="R7" s="74">
        <v>3.5000000000000001E-3</v>
      </c>
      <c r="S7" s="18"/>
      <c r="T7" s="16"/>
      <c r="U7" s="16"/>
      <c r="V7" s="16"/>
      <c r="W7" s="16"/>
      <c r="X7" s="16"/>
      <c r="Y7" s="16"/>
    </row>
    <row r="8" spans="1:25" ht="18" customHeight="1">
      <c r="A8" s="59" t="s">
        <v>34</v>
      </c>
      <c r="B8" s="35">
        <v>75</v>
      </c>
      <c r="C8" s="80">
        <v>6.6</v>
      </c>
      <c r="D8" s="80">
        <v>95</v>
      </c>
      <c r="E8" s="80">
        <v>10</v>
      </c>
      <c r="F8" s="61">
        <v>215000</v>
      </c>
      <c r="G8" s="39">
        <v>1.4</v>
      </c>
      <c r="H8" s="2"/>
      <c r="I8" s="5" t="s">
        <v>6</v>
      </c>
      <c r="J8" s="11">
        <f>VLOOKUP($I$6,$A$4:$G$26,3,0)</f>
        <v>9</v>
      </c>
      <c r="K8" s="7" t="s">
        <v>2</v>
      </c>
      <c r="M8" s="16"/>
      <c r="N8" s="73" t="s">
        <v>34</v>
      </c>
      <c r="O8" s="71">
        <v>5.5999999999999999E-3</v>
      </c>
      <c r="P8" s="71">
        <v>4.7999999999999996E-3</v>
      </c>
      <c r="Q8" s="82">
        <v>4.1999999999999997E-3</v>
      </c>
      <c r="R8" s="74">
        <v>3.5000000000000001E-3</v>
      </c>
      <c r="S8" s="18"/>
      <c r="T8" s="16"/>
      <c r="U8" s="16"/>
      <c r="V8" s="16"/>
      <c r="W8" s="16"/>
      <c r="X8" s="16"/>
      <c r="Y8" s="16"/>
    </row>
    <row r="9" spans="1:25" ht="18" customHeight="1">
      <c r="A9" s="59" t="s">
        <v>11</v>
      </c>
      <c r="B9" s="35">
        <v>85</v>
      </c>
      <c r="C9" s="80">
        <v>7.5</v>
      </c>
      <c r="D9" s="80">
        <v>110</v>
      </c>
      <c r="E9" s="37">
        <v>11</v>
      </c>
      <c r="F9" s="61">
        <v>240000</v>
      </c>
      <c r="G9" s="39">
        <v>1.6</v>
      </c>
      <c r="H9" s="2"/>
      <c r="I9" s="5" t="s">
        <v>7</v>
      </c>
      <c r="J9" s="11">
        <f>VLOOKUP($I$6,$A$4:$G$26,4,0)</f>
        <v>150</v>
      </c>
      <c r="K9" s="7" t="s">
        <v>2</v>
      </c>
      <c r="M9" s="16"/>
      <c r="N9" s="73" t="s">
        <v>11</v>
      </c>
      <c r="O9" s="71">
        <v>5.5999999999999999E-3</v>
      </c>
      <c r="P9" s="71">
        <v>4.7999999999999996E-3</v>
      </c>
      <c r="Q9" s="82">
        <v>4.1999999999999997E-3</v>
      </c>
      <c r="R9" s="74">
        <v>3.5000000000000001E-3</v>
      </c>
      <c r="S9" s="18"/>
      <c r="T9" s="16"/>
      <c r="U9" s="16"/>
      <c r="V9" s="16"/>
      <c r="W9" s="16"/>
      <c r="X9" s="16"/>
      <c r="Y9" s="16"/>
    </row>
    <row r="10" spans="1:25" ht="18" customHeight="1">
      <c r="A10" s="59" t="s">
        <v>12</v>
      </c>
      <c r="B10" s="35">
        <v>115</v>
      </c>
      <c r="C10" s="80">
        <v>9</v>
      </c>
      <c r="D10" s="80">
        <v>150</v>
      </c>
      <c r="E10" s="37">
        <v>13.5</v>
      </c>
      <c r="F10" s="61">
        <v>275000</v>
      </c>
      <c r="G10" s="39">
        <v>1.9</v>
      </c>
      <c r="H10" s="2"/>
      <c r="I10" s="5" t="s">
        <v>9</v>
      </c>
      <c r="J10" s="11">
        <f>VLOOKUP($I$6,$A$4:$G$26,5,0)</f>
        <v>13.5</v>
      </c>
      <c r="K10" s="7" t="s">
        <v>2</v>
      </c>
      <c r="M10" s="16"/>
      <c r="N10" s="73" t="s">
        <v>12</v>
      </c>
      <c r="O10" s="71">
        <v>5.5999999999999999E-3</v>
      </c>
      <c r="P10" s="71">
        <v>4.7999999999999996E-3</v>
      </c>
      <c r="Q10" s="82">
        <v>4.1999999999999997E-3</v>
      </c>
      <c r="R10" s="74">
        <v>3.5000000000000001E-3</v>
      </c>
      <c r="S10" s="18"/>
      <c r="T10" s="16"/>
      <c r="U10" s="16"/>
      <c r="V10" s="16"/>
      <c r="W10" s="16"/>
      <c r="X10" s="16"/>
      <c r="Y10" s="16"/>
    </row>
    <row r="11" spans="1:25" ht="18" customHeight="1">
      <c r="A11" s="59" t="s">
        <v>32</v>
      </c>
      <c r="B11" s="35">
        <v>130</v>
      </c>
      <c r="C11" s="80">
        <v>9.5</v>
      </c>
      <c r="D11" s="80">
        <v>165</v>
      </c>
      <c r="E11" s="37">
        <v>14.5</v>
      </c>
      <c r="F11" s="60">
        <v>285000</v>
      </c>
      <c r="G11" s="40">
        <v>2.0499999999999998</v>
      </c>
      <c r="H11" s="2"/>
      <c r="I11" s="20" t="s">
        <v>10</v>
      </c>
      <c r="J11" s="11">
        <f>VLOOKUP($I$6,$A$4:$G$26,6,0)</f>
        <v>275000</v>
      </c>
      <c r="K11" s="21" t="s">
        <v>2</v>
      </c>
      <c r="M11" s="16"/>
      <c r="N11" s="73" t="s">
        <v>32</v>
      </c>
      <c r="O11" s="71">
        <v>5.5999999999999999E-3</v>
      </c>
      <c r="P11" s="71">
        <v>4.7999999999999996E-3</v>
      </c>
      <c r="Q11" s="82">
        <v>4.1999999999999997E-3</v>
      </c>
      <c r="R11" s="74">
        <v>3.5000000000000001E-3</v>
      </c>
      <c r="S11" s="18"/>
      <c r="T11" s="16"/>
      <c r="U11" s="16"/>
      <c r="V11" s="16"/>
      <c r="W11" s="16"/>
      <c r="X11" s="16"/>
      <c r="Y11" s="16"/>
    </row>
    <row r="12" spans="1:25" ht="18" customHeight="1" thickBot="1">
      <c r="A12" s="59" t="s">
        <v>15</v>
      </c>
      <c r="B12" s="35">
        <v>145</v>
      </c>
      <c r="C12" s="80">
        <v>10.5</v>
      </c>
      <c r="D12" s="80">
        <v>185</v>
      </c>
      <c r="E12" s="37">
        <v>15.5</v>
      </c>
      <c r="F12" s="60">
        <v>300000</v>
      </c>
      <c r="G12" s="39">
        <v>2.2000000000000002</v>
      </c>
      <c r="H12" s="2"/>
      <c r="I12" s="6" t="s">
        <v>42</v>
      </c>
      <c r="J12" s="4">
        <f>VLOOKUP($I$6,$A$4:$G$26,7,0)</f>
        <v>1.9</v>
      </c>
      <c r="K12" s="9" t="s">
        <v>43</v>
      </c>
      <c r="M12" s="16"/>
      <c r="N12" s="73" t="s">
        <v>15</v>
      </c>
      <c r="O12" s="71">
        <v>5.5999999999999999E-3</v>
      </c>
      <c r="P12" s="71">
        <v>4.7999999999999996E-3</v>
      </c>
      <c r="Q12" s="82">
        <v>4.1999999999999997E-3</v>
      </c>
      <c r="R12" s="74">
        <v>3.5000000000000001E-3</v>
      </c>
      <c r="S12" s="18"/>
      <c r="T12" s="16"/>
      <c r="U12" s="16"/>
      <c r="V12" s="16"/>
      <c r="W12" s="16"/>
      <c r="X12" s="16"/>
      <c r="Y12" s="16"/>
    </row>
    <row r="13" spans="1:25" ht="18" customHeight="1" thickBot="1">
      <c r="A13" s="59" t="s">
        <v>17</v>
      </c>
      <c r="B13" s="35">
        <v>170</v>
      </c>
      <c r="C13" s="37">
        <v>11.5</v>
      </c>
      <c r="D13" s="80">
        <v>220</v>
      </c>
      <c r="E13" s="37">
        <v>17.5</v>
      </c>
      <c r="F13" s="60">
        <v>325000</v>
      </c>
      <c r="G13" s="39">
        <v>2.6</v>
      </c>
      <c r="H13" s="2"/>
      <c r="M13" s="16"/>
      <c r="N13" s="73" t="s">
        <v>17</v>
      </c>
      <c r="O13" s="71">
        <v>5.5999999999999999E-3</v>
      </c>
      <c r="P13" s="71">
        <v>4.7999999999999996E-3</v>
      </c>
      <c r="Q13" s="82">
        <v>4.1999999999999997E-3</v>
      </c>
      <c r="R13" s="74">
        <v>3.5000000000000001E-3</v>
      </c>
      <c r="S13" s="18"/>
      <c r="T13" s="16"/>
      <c r="U13" s="16"/>
      <c r="V13" s="16"/>
      <c r="W13" s="16"/>
      <c r="X13" s="16"/>
      <c r="Y13" s="16"/>
    </row>
    <row r="14" spans="1:25" ht="18" customHeight="1" thickBot="1">
      <c r="A14" s="59" t="s">
        <v>19</v>
      </c>
      <c r="B14" s="35">
        <v>195</v>
      </c>
      <c r="C14" s="80">
        <v>13</v>
      </c>
      <c r="D14" s="80">
        <v>255</v>
      </c>
      <c r="E14" s="80">
        <v>19.5</v>
      </c>
      <c r="F14" s="60">
        <v>345000</v>
      </c>
      <c r="G14" s="39">
        <v>2.9</v>
      </c>
      <c r="H14" s="2"/>
      <c r="I14" s="8" t="s">
        <v>29</v>
      </c>
      <c r="J14" s="189" t="s">
        <v>13</v>
      </c>
      <c r="K14" s="190"/>
      <c r="L14" s="22" t="s">
        <v>40</v>
      </c>
      <c r="M14" s="16"/>
      <c r="N14" s="73" t="s">
        <v>19</v>
      </c>
      <c r="O14" s="71">
        <v>5.5999999999999999E-3</v>
      </c>
      <c r="P14" s="71">
        <v>4.7999999999999996E-3</v>
      </c>
      <c r="Q14" s="82">
        <v>4.1999999999999997E-3</v>
      </c>
      <c r="R14" s="74">
        <v>3.5000000000000001E-3</v>
      </c>
      <c r="S14" s="18"/>
      <c r="T14" s="16"/>
      <c r="U14" s="16"/>
      <c r="V14" s="16"/>
      <c r="W14" s="16"/>
      <c r="X14" s="16"/>
      <c r="Y14" s="16"/>
    </row>
    <row r="15" spans="1:25" ht="18" customHeight="1">
      <c r="A15" s="59" t="s">
        <v>21</v>
      </c>
      <c r="B15" s="35">
        <v>220</v>
      </c>
      <c r="C15" s="80">
        <v>14</v>
      </c>
      <c r="D15" s="80">
        <v>290</v>
      </c>
      <c r="E15" s="80">
        <v>21</v>
      </c>
      <c r="F15" s="60">
        <v>360000</v>
      </c>
      <c r="G15" s="41">
        <v>3.02</v>
      </c>
      <c r="H15" s="2"/>
      <c r="I15" s="5" t="s">
        <v>14</v>
      </c>
      <c r="J15" s="3">
        <f>VLOOKUP($I$14,$A$31:$F$35,2,0)</f>
        <v>3500</v>
      </c>
      <c r="K15" s="7" t="s">
        <v>2</v>
      </c>
      <c r="M15" s="16"/>
      <c r="N15" s="73" t="s">
        <v>21</v>
      </c>
      <c r="O15" s="71">
        <v>5.5999999999999999E-3</v>
      </c>
      <c r="P15" s="71">
        <v>4.7999999999999996E-3</v>
      </c>
      <c r="Q15" s="82">
        <v>4.1999999999999997E-3</v>
      </c>
      <c r="R15" s="74">
        <v>3.5000000000000001E-3</v>
      </c>
      <c r="S15" s="18"/>
      <c r="T15" s="16"/>
      <c r="U15" s="16"/>
      <c r="V15" s="16"/>
      <c r="W15" s="16"/>
      <c r="X15" s="16"/>
      <c r="Y15" s="16"/>
    </row>
    <row r="16" spans="1:25" ht="18" customHeight="1">
      <c r="A16" s="59" t="s">
        <v>23</v>
      </c>
      <c r="B16" s="35">
        <v>250</v>
      </c>
      <c r="C16" s="37">
        <v>15</v>
      </c>
      <c r="D16" s="80">
        <v>320</v>
      </c>
      <c r="E16" s="37">
        <v>22.5</v>
      </c>
      <c r="F16" s="61">
        <v>370000</v>
      </c>
      <c r="G16" s="39">
        <v>3.2</v>
      </c>
      <c r="H16" s="2"/>
      <c r="I16" s="5" t="s">
        <v>16</v>
      </c>
      <c r="J16" s="3">
        <f>VLOOKUP($I$14,$A$31:$F$35,3,0)</f>
        <v>3500</v>
      </c>
      <c r="K16" s="7" t="s">
        <v>2</v>
      </c>
      <c r="M16" s="16"/>
      <c r="N16" s="73" t="s">
        <v>23</v>
      </c>
      <c r="O16" s="71">
        <v>5.5999999999999999E-3</v>
      </c>
      <c r="P16" s="71">
        <v>4.7999999999999996E-3</v>
      </c>
      <c r="Q16" s="82">
        <v>4.1999999999999997E-3</v>
      </c>
      <c r="R16" s="74">
        <v>3.5000000000000001E-3</v>
      </c>
      <c r="S16" s="18"/>
      <c r="T16" s="16"/>
      <c r="U16" s="16"/>
      <c r="V16" s="16"/>
      <c r="W16" s="16"/>
      <c r="X16" s="16"/>
      <c r="Y16" s="16"/>
    </row>
    <row r="17" spans="1:25" ht="18" customHeight="1">
      <c r="A17" s="59" t="s">
        <v>24</v>
      </c>
      <c r="B17" s="35">
        <v>275</v>
      </c>
      <c r="C17" s="37">
        <v>16</v>
      </c>
      <c r="D17" s="80">
        <v>360</v>
      </c>
      <c r="E17" s="37">
        <v>24.5</v>
      </c>
      <c r="F17" s="61">
        <v>380000</v>
      </c>
      <c r="G17" s="39">
        <v>3.5</v>
      </c>
      <c r="I17" s="5" t="s">
        <v>18</v>
      </c>
      <c r="J17" s="3">
        <f>VLOOKUP($I$14,$A$31:$F$35,4,0)</f>
        <v>2800</v>
      </c>
      <c r="K17" s="7" t="s">
        <v>2</v>
      </c>
      <c r="M17" s="23"/>
      <c r="N17" s="73" t="s">
        <v>24</v>
      </c>
      <c r="O17" s="71">
        <v>5.5999999999999999E-3</v>
      </c>
      <c r="P17" s="71">
        <v>4.7999999999999996E-3</v>
      </c>
      <c r="Q17" s="82">
        <v>4.1999999999999997E-3</v>
      </c>
      <c r="R17" s="74">
        <v>3.5000000000000001E-3</v>
      </c>
      <c r="S17" s="18"/>
      <c r="T17" s="16"/>
      <c r="U17" s="16"/>
      <c r="V17" s="16"/>
      <c r="W17" s="16"/>
      <c r="X17" s="16"/>
      <c r="Y17" s="16"/>
    </row>
    <row r="18" spans="1:25" ht="18" customHeight="1">
      <c r="A18" s="59" t="s">
        <v>25</v>
      </c>
      <c r="B18" s="35">
        <v>300</v>
      </c>
      <c r="C18" s="37">
        <v>17</v>
      </c>
      <c r="D18" s="80">
        <v>395</v>
      </c>
      <c r="E18" s="37">
        <v>26</v>
      </c>
      <c r="F18" s="61">
        <v>390000</v>
      </c>
      <c r="G18" s="39">
        <v>3.8</v>
      </c>
      <c r="I18" s="5" t="s">
        <v>20</v>
      </c>
      <c r="J18" s="3">
        <f>VLOOKUP($I$14,$A$31:$F$35,5,0)</f>
        <v>4000</v>
      </c>
      <c r="K18" s="7" t="s">
        <v>2</v>
      </c>
      <c r="M18" s="19"/>
      <c r="N18" s="73" t="s">
        <v>25</v>
      </c>
      <c r="O18" s="71">
        <v>5.5999999999999999E-3</v>
      </c>
      <c r="P18" s="71">
        <v>4.7999999999999996E-3</v>
      </c>
      <c r="Q18" s="82">
        <v>4.1999999999999997E-3</v>
      </c>
      <c r="R18" s="74">
        <v>3.5000000000000001E-3</v>
      </c>
      <c r="S18" s="18"/>
      <c r="T18" s="18"/>
      <c r="U18" s="18"/>
      <c r="V18" s="18"/>
      <c r="W18" s="18"/>
      <c r="X18" s="18"/>
      <c r="Y18" s="18"/>
    </row>
    <row r="19" spans="1:25" ht="18" customHeight="1" thickBot="1">
      <c r="A19" s="59" t="s">
        <v>26</v>
      </c>
      <c r="B19" s="35">
        <v>330</v>
      </c>
      <c r="C19" s="37">
        <v>18</v>
      </c>
      <c r="D19" s="80">
        <v>430</v>
      </c>
      <c r="E19" s="37">
        <v>27.5</v>
      </c>
      <c r="F19" s="61">
        <v>395000</v>
      </c>
      <c r="G19" s="42">
        <v>4.0999999999999996</v>
      </c>
      <c r="I19" s="6" t="s">
        <v>22</v>
      </c>
      <c r="J19" s="4">
        <f>VLOOKUP($I$14,$A$31:$F$35,6,0)</f>
        <v>2000000</v>
      </c>
      <c r="K19" s="9" t="s">
        <v>2</v>
      </c>
      <c r="M19" s="16"/>
      <c r="N19" s="73" t="s">
        <v>26</v>
      </c>
      <c r="O19" s="71">
        <v>5.5999999999999999E-3</v>
      </c>
      <c r="P19" s="71">
        <v>4.7999999999999996E-3</v>
      </c>
      <c r="Q19" s="82">
        <v>4.1999999999999997E-3</v>
      </c>
      <c r="R19" s="74">
        <v>3.5000000000000001E-3</v>
      </c>
      <c r="S19" s="16"/>
      <c r="T19" s="16"/>
      <c r="U19" s="16"/>
      <c r="V19" s="16"/>
      <c r="W19" s="16"/>
      <c r="X19" s="16"/>
      <c r="Y19" s="16"/>
    </row>
    <row r="20" spans="1:25" ht="18" customHeight="1" thickBot="1">
      <c r="A20" s="59" t="s">
        <v>64</v>
      </c>
      <c r="B20" s="43">
        <v>350</v>
      </c>
      <c r="C20" s="37">
        <v>18.5</v>
      </c>
      <c r="D20" s="37">
        <v>465</v>
      </c>
      <c r="E20" s="37">
        <v>28.5</v>
      </c>
      <c r="F20" s="61">
        <v>400000</v>
      </c>
      <c r="G20" s="44">
        <v>4.2</v>
      </c>
      <c r="M20" s="16"/>
      <c r="N20" s="73" t="s">
        <v>64</v>
      </c>
      <c r="O20" s="72">
        <f>$O$19*(270-65)/210</f>
        <v>5.4666666666666665E-3</v>
      </c>
      <c r="P20" s="72">
        <f>$P$19*(270-65)/210</f>
        <v>4.6857142857142852E-3</v>
      </c>
      <c r="Q20" s="83">
        <f>$Q$19*(270-65)/210</f>
        <v>4.1000000000000003E-3</v>
      </c>
      <c r="R20" s="74">
        <v>3.3999999999999998E-3</v>
      </c>
      <c r="S20" s="16"/>
      <c r="T20" s="16"/>
      <c r="U20" s="16"/>
      <c r="V20" s="16"/>
      <c r="W20" s="16"/>
      <c r="X20" s="16"/>
      <c r="Y20" s="16"/>
    </row>
    <row r="21" spans="1:25" ht="18" customHeight="1" thickBot="1">
      <c r="A21" s="59" t="s">
        <v>55</v>
      </c>
      <c r="B21" s="43">
        <v>370</v>
      </c>
      <c r="C21" s="37">
        <v>19</v>
      </c>
      <c r="D21" s="80">
        <v>500</v>
      </c>
      <c r="E21" s="37">
        <v>30</v>
      </c>
      <c r="F21" s="61">
        <v>410000</v>
      </c>
      <c r="G21" s="44">
        <v>4.4000000000000004</v>
      </c>
      <c r="I21" s="8" t="s">
        <v>45</v>
      </c>
      <c r="J21" s="189" t="s">
        <v>13</v>
      </c>
      <c r="K21" s="190"/>
      <c r="L21" s="22" t="s">
        <v>41</v>
      </c>
      <c r="M21" s="16"/>
      <c r="N21" s="73" t="s">
        <v>55</v>
      </c>
      <c r="O21" s="72">
        <f>$O$19*(270-70)/210</f>
        <v>5.3333333333333332E-3</v>
      </c>
      <c r="P21" s="72">
        <f>$P$19*(270-70)/210</f>
        <v>4.5714285714285709E-3</v>
      </c>
      <c r="Q21" s="83">
        <f>$Q$19*(270-70)/210</f>
        <v>4.0000000000000001E-3</v>
      </c>
      <c r="R21" s="74">
        <v>3.3E-3</v>
      </c>
      <c r="S21" s="16"/>
      <c r="T21" s="16"/>
      <c r="U21" s="16"/>
      <c r="V21" s="16"/>
      <c r="W21" s="16"/>
      <c r="X21" s="16"/>
      <c r="Y21" s="16"/>
    </row>
    <row r="22" spans="1:25" ht="18" customHeight="1">
      <c r="A22" s="59" t="s">
        <v>56</v>
      </c>
      <c r="B22" s="43">
        <v>410</v>
      </c>
      <c r="C22" s="37">
        <v>21</v>
      </c>
      <c r="D22" s="80">
        <v>570</v>
      </c>
      <c r="E22" s="37">
        <v>33</v>
      </c>
      <c r="F22" s="61">
        <v>420000</v>
      </c>
      <c r="G22" s="44">
        <v>4.5999999999999996</v>
      </c>
      <c r="I22" s="5" t="s">
        <v>14</v>
      </c>
      <c r="J22" s="11">
        <f>VLOOKUP($I$21,$A$31:$F$35,2,0)</f>
        <v>2100</v>
      </c>
      <c r="K22" s="7" t="s">
        <v>2</v>
      </c>
      <c r="M22" s="16"/>
      <c r="N22" s="73" t="s">
        <v>56</v>
      </c>
      <c r="O22" s="72">
        <f>$O$19*(270-80)/210</f>
        <v>5.0666666666666672E-3</v>
      </c>
      <c r="P22" s="72">
        <f>$P$19*(270-80)/210</f>
        <v>4.3428571428571422E-3</v>
      </c>
      <c r="Q22" s="83">
        <f>$Q$19*(270-80)/210</f>
        <v>3.7999999999999996E-3</v>
      </c>
      <c r="R22" s="75">
        <v>3.1333333333333335E-3</v>
      </c>
      <c r="S22" s="16"/>
      <c r="T22" s="16"/>
      <c r="U22" s="16"/>
      <c r="V22" s="16"/>
      <c r="W22" s="16"/>
      <c r="X22" s="16"/>
      <c r="Y22" s="16"/>
    </row>
    <row r="23" spans="1:25" ht="18" customHeight="1">
      <c r="A23" s="59" t="s">
        <v>57</v>
      </c>
      <c r="B23" s="43">
        <v>440</v>
      </c>
      <c r="C23" s="37">
        <v>21.5</v>
      </c>
      <c r="D23" s="80">
        <v>640</v>
      </c>
      <c r="E23" s="37">
        <v>36</v>
      </c>
      <c r="F23" s="61">
        <v>425000</v>
      </c>
      <c r="G23" s="44">
        <v>4.8</v>
      </c>
      <c r="I23" s="5" t="s">
        <v>16</v>
      </c>
      <c r="J23" s="11">
        <f>VLOOKUP($I$21,$A$31:$F$35,3,0)</f>
        <v>2100</v>
      </c>
      <c r="K23" s="7" t="s">
        <v>2</v>
      </c>
      <c r="M23" s="16"/>
      <c r="N23" s="73" t="s">
        <v>57</v>
      </c>
      <c r="O23" s="72">
        <f>$O$19*(270-90)/210</f>
        <v>4.8000000000000004E-3</v>
      </c>
      <c r="P23" s="72">
        <f>$P$19*(270-90)/210</f>
        <v>4.1142857142857136E-3</v>
      </c>
      <c r="Q23" s="83">
        <f>$Q$19*(270-90)/210</f>
        <v>3.5999999999999999E-3</v>
      </c>
      <c r="R23" s="75">
        <v>2.9666666666666665E-3</v>
      </c>
      <c r="S23" s="16"/>
      <c r="T23" s="16"/>
      <c r="U23" s="16"/>
      <c r="V23" s="16"/>
      <c r="W23" s="16"/>
      <c r="X23" s="16"/>
      <c r="Y23" s="16"/>
    </row>
    <row r="24" spans="1:25" ht="18" customHeight="1" thickBot="1">
      <c r="A24" s="62" t="s">
        <v>58</v>
      </c>
      <c r="B24" s="91">
        <v>475</v>
      </c>
      <c r="C24" s="45">
        <v>22</v>
      </c>
      <c r="D24" s="46">
        <v>710</v>
      </c>
      <c r="E24" s="45">
        <v>38</v>
      </c>
      <c r="F24" s="63">
        <v>430000</v>
      </c>
      <c r="G24" s="92">
        <v>5</v>
      </c>
      <c r="I24" s="5" t="s">
        <v>18</v>
      </c>
      <c r="J24" s="11">
        <f>VLOOKUP($I$21,$A$31:$F$35,4,0)</f>
        <v>1700</v>
      </c>
      <c r="K24" s="7" t="s">
        <v>2</v>
      </c>
      <c r="M24" s="16"/>
      <c r="N24" s="76" t="s">
        <v>58</v>
      </c>
      <c r="O24" s="93">
        <f>$O$19*(270-100)/210</f>
        <v>4.5333333333333328E-3</v>
      </c>
      <c r="P24" s="93">
        <f>$P$19*(270-100)/210</f>
        <v>3.8857142857142853E-3</v>
      </c>
      <c r="Q24" s="94">
        <f>$Q$19*(270-100)/210</f>
        <v>3.3999999999999998E-3</v>
      </c>
      <c r="R24" s="77">
        <v>2.8E-3</v>
      </c>
      <c r="S24" s="16"/>
      <c r="T24" s="16"/>
      <c r="U24" s="16"/>
      <c r="V24" s="16"/>
      <c r="W24" s="16"/>
      <c r="X24" s="16"/>
      <c r="Y24" s="16"/>
    </row>
    <row r="25" spans="1:25" ht="18" customHeight="1">
      <c r="A25" s="84"/>
      <c r="B25" s="69"/>
      <c r="C25" s="69"/>
      <c r="D25" s="69"/>
      <c r="E25" s="69"/>
      <c r="F25" s="85"/>
      <c r="G25" s="86"/>
      <c r="I25" s="5" t="s">
        <v>20</v>
      </c>
      <c r="J25" s="11">
        <f>VLOOKUP($I$21,$A$31:$F$35,5,0)</f>
        <v>2400</v>
      </c>
      <c r="K25" s="7" t="s">
        <v>2</v>
      </c>
      <c r="M25" s="16"/>
      <c r="N25" s="84"/>
      <c r="O25" s="90"/>
      <c r="P25" s="90"/>
      <c r="Q25" s="90"/>
      <c r="R25" s="90"/>
      <c r="S25" s="16"/>
      <c r="T25" s="16"/>
      <c r="U25" s="16"/>
      <c r="V25" s="16"/>
      <c r="W25" s="16"/>
      <c r="X25" s="16"/>
      <c r="Y25" s="16"/>
    </row>
    <row r="26" spans="1:25" ht="18" customHeight="1" thickBot="1">
      <c r="A26" s="84"/>
      <c r="B26" s="67"/>
      <c r="C26" s="67"/>
      <c r="D26" s="87"/>
      <c r="E26" s="67"/>
      <c r="F26" s="88"/>
      <c r="G26" s="89"/>
      <c r="I26" s="6" t="s">
        <v>22</v>
      </c>
      <c r="J26" s="4">
        <f>VLOOKUP($I$21,$A$31:$F$35,6,0)</f>
        <v>2000000</v>
      </c>
      <c r="K26" s="9" t="s">
        <v>2</v>
      </c>
      <c r="M26" s="16"/>
      <c r="N26" s="84"/>
      <c r="O26" s="90"/>
      <c r="P26" s="90"/>
      <c r="Q26" s="90"/>
      <c r="R26" s="90"/>
      <c r="S26" s="16"/>
      <c r="T26" s="16"/>
      <c r="U26" s="16"/>
      <c r="V26" s="16"/>
      <c r="W26" s="16"/>
      <c r="X26" s="16"/>
      <c r="Y26" s="16"/>
    </row>
    <row r="27" spans="1:25" ht="18" customHeight="1" thickBot="1">
      <c r="A27" s="2"/>
      <c r="B27" s="2"/>
      <c r="C27" s="2"/>
      <c r="D27" s="2"/>
      <c r="E27" s="2"/>
      <c r="F27" s="2"/>
      <c r="G27" s="15"/>
    </row>
    <row r="28" spans="1:25" ht="18" customHeight="1" thickBot="1">
      <c r="A28" s="186" t="s">
        <v>27</v>
      </c>
      <c r="B28" s="187"/>
      <c r="C28" s="187"/>
      <c r="D28" s="187"/>
      <c r="E28" s="187"/>
      <c r="F28" s="188"/>
      <c r="G28" s="12"/>
    </row>
    <row r="29" spans="1:25" ht="18" customHeight="1">
      <c r="A29" s="184" t="s">
        <v>1</v>
      </c>
      <c r="B29" s="25" t="s">
        <v>59</v>
      </c>
      <c r="C29" s="26" t="s">
        <v>60</v>
      </c>
      <c r="D29" s="26" t="s">
        <v>61</v>
      </c>
      <c r="E29" s="26" t="s">
        <v>62</v>
      </c>
      <c r="F29" s="28" t="s">
        <v>63</v>
      </c>
      <c r="G29" s="12"/>
    </row>
    <row r="30" spans="1:25" ht="18" customHeight="1" thickBot="1">
      <c r="A30" s="185"/>
      <c r="B30" s="29" t="s">
        <v>53</v>
      </c>
      <c r="C30" s="30" t="s">
        <v>53</v>
      </c>
      <c r="D30" s="30" t="s">
        <v>53</v>
      </c>
      <c r="E30" s="30" t="s">
        <v>53</v>
      </c>
      <c r="F30" s="31" t="s">
        <v>53</v>
      </c>
      <c r="G30" s="13"/>
    </row>
    <row r="31" spans="1:25" s="10" customFormat="1" ht="18" customHeight="1">
      <c r="A31" s="47" t="s">
        <v>45</v>
      </c>
      <c r="B31" s="49">
        <v>2100</v>
      </c>
      <c r="C31" s="37">
        <v>2100</v>
      </c>
      <c r="D31" s="37">
        <v>1700</v>
      </c>
      <c r="E31" s="36">
        <v>2400</v>
      </c>
      <c r="F31" s="48">
        <v>2000000</v>
      </c>
      <c r="G31" s="14"/>
    </row>
    <row r="32" spans="1:25" s="10" customFormat="1" ht="18" customHeight="1">
      <c r="A32" s="47" t="s">
        <v>46</v>
      </c>
      <c r="B32" s="49">
        <v>2600</v>
      </c>
      <c r="C32" s="37">
        <v>2600</v>
      </c>
      <c r="D32" s="37">
        <v>2100</v>
      </c>
      <c r="E32" s="36">
        <v>3000</v>
      </c>
      <c r="F32" s="48">
        <v>2000000</v>
      </c>
      <c r="G32" s="14"/>
    </row>
    <row r="33" spans="1:7" ht="18" customHeight="1">
      <c r="A33" s="47" t="s">
        <v>28</v>
      </c>
      <c r="B33" s="49">
        <v>2600</v>
      </c>
      <c r="C33" s="37">
        <v>2600</v>
      </c>
      <c r="D33" s="37">
        <v>2100</v>
      </c>
      <c r="E33" s="36">
        <v>3000</v>
      </c>
      <c r="F33" s="48">
        <v>2000000</v>
      </c>
      <c r="G33" s="14"/>
    </row>
    <row r="34" spans="1:7" ht="18" customHeight="1">
      <c r="A34" s="47" t="s">
        <v>29</v>
      </c>
      <c r="B34" s="49">
        <v>3500</v>
      </c>
      <c r="C34" s="37">
        <v>3500</v>
      </c>
      <c r="D34" s="37">
        <v>2800</v>
      </c>
      <c r="E34" s="36">
        <v>4000</v>
      </c>
      <c r="F34" s="48">
        <v>2000000</v>
      </c>
      <c r="G34" s="14"/>
    </row>
    <row r="35" spans="1:7" ht="18" customHeight="1" thickBot="1">
      <c r="A35" s="50" t="s">
        <v>30</v>
      </c>
      <c r="B35" s="51">
        <v>4350</v>
      </c>
      <c r="C35" s="45">
        <v>4350</v>
      </c>
      <c r="D35" s="45">
        <v>3000</v>
      </c>
      <c r="E35" s="46">
        <v>5000</v>
      </c>
      <c r="F35" s="52">
        <v>2000000</v>
      </c>
      <c r="G35" s="14"/>
    </row>
  </sheetData>
  <mergeCells count="10">
    <mergeCell ref="R1:R3"/>
    <mergeCell ref="O1:Q2"/>
    <mergeCell ref="N1:N3"/>
    <mergeCell ref="A1:G1"/>
    <mergeCell ref="A2:A3"/>
    <mergeCell ref="A29:A30"/>
    <mergeCell ref="A28:F28"/>
    <mergeCell ref="J6:K6"/>
    <mergeCell ref="J14:K14"/>
    <mergeCell ref="J21:K21"/>
  </mergeCells>
  <dataValidations count="3">
    <dataValidation type="list" allowBlank="1" showInputMessage="1" showErrorMessage="1" sqref="I6" xr:uid="{00000000-0002-0000-0000-000000000000}">
      <formula1>$A$4:$A$24</formula1>
    </dataValidation>
    <dataValidation type="list" allowBlank="1" showInputMessage="1" showErrorMessage="1" sqref="I14 I21" xr:uid="{00000000-0002-0000-0000-000001000000}">
      <formula1>$A$31:$A$35</formula1>
    </dataValidation>
    <dataValidation type="list" allowBlank="1" showInputMessage="1" showErrorMessage="1" sqref="M4" xr:uid="{00000000-0002-0000-0000-000002000000}">
      <formula1>$A$4:$A$26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AP117"/>
  <sheetViews>
    <sheetView tabSelected="1" view="pageBreakPreview" zoomScale="70" zoomScaleNormal="70" zoomScaleSheetLayoutView="70" zoomScalePageLayoutView="70" workbookViewId="0">
      <selection activeCell="S12" sqref="S12"/>
    </sheetView>
  </sheetViews>
  <sheetFormatPr defaultColWidth="10.7109375" defaultRowHeight="21.95" customHeight="1"/>
  <cols>
    <col min="1" max="16" width="11.28515625" style="64" customWidth="1"/>
    <col min="17" max="18" width="9.7109375" style="64" customWidth="1"/>
    <col min="19" max="19" width="13.28515625" style="64" customWidth="1"/>
    <col min="20" max="20" width="12.5703125" style="64" customWidth="1"/>
    <col min="21" max="21" width="15" style="64" customWidth="1"/>
    <col min="22" max="22" width="9.7109375" style="64" customWidth="1"/>
    <col min="23" max="23" width="11.85546875" style="64" customWidth="1"/>
    <col min="24" max="33" width="9.7109375" style="64" customWidth="1"/>
    <col min="34" max="16384" width="10.7109375" style="64"/>
  </cols>
  <sheetData>
    <row r="1" spans="1:35" ht="21.95" customHeight="1">
      <c r="A1" s="244" t="s">
        <v>81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65"/>
      <c r="AI1" s="65"/>
    </row>
    <row r="2" spans="1:35" ht="21.95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65"/>
      <c r="AI2" s="65"/>
    </row>
    <row r="3" spans="1:35" ht="21.95" customHeight="1">
      <c r="A3" s="245" t="s">
        <v>71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98"/>
      <c r="AC3" s="98"/>
      <c r="AD3" s="98"/>
      <c r="AG3" s="100"/>
      <c r="AH3" s="65"/>
      <c r="AI3" s="65"/>
    </row>
    <row r="4" spans="1:35" ht="21.95" customHeight="1">
      <c r="A4" s="246" t="s">
        <v>72</v>
      </c>
      <c r="B4" s="246"/>
      <c r="C4" s="247" t="s">
        <v>78</v>
      </c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6"/>
      <c r="AC4" s="66"/>
      <c r="AD4" s="66"/>
      <c r="AE4" s="66"/>
      <c r="AF4" s="66"/>
      <c r="AG4" s="101"/>
      <c r="AH4" s="65"/>
    </row>
    <row r="5" spans="1:35" ht="21.95" customHeight="1">
      <c r="A5" s="246" t="s">
        <v>73</v>
      </c>
      <c r="B5" s="246"/>
      <c r="C5" s="247" t="s">
        <v>77</v>
      </c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</row>
    <row r="6" spans="1:35" ht="21.95" customHeight="1">
      <c r="A6" s="246" t="s">
        <v>74</v>
      </c>
      <c r="B6" s="246"/>
      <c r="C6" s="246" t="s">
        <v>69</v>
      </c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65"/>
      <c r="R6" s="65"/>
      <c r="S6" s="65"/>
      <c r="T6" s="65"/>
      <c r="W6" s="97"/>
      <c r="X6" s="68"/>
      <c r="Y6" s="97"/>
      <c r="Z6" s="65"/>
      <c r="AA6" s="65"/>
      <c r="AB6" s="65"/>
      <c r="AC6" s="65"/>
      <c r="AD6" s="65"/>
      <c r="AE6" s="65"/>
      <c r="AF6" s="65"/>
      <c r="AG6" s="65"/>
      <c r="AH6" s="65"/>
    </row>
    <row r="7" spans="1:35" ht="21.95" customHeight="1">
      <c r="A7" s="241" t="s">
        <v>75</v>
      </c>
      <c r="B7" s="242"/>
      <c r="C7" s="242"/>
      <c r="D7" s="242"/>
      <c r="E7" s="242"/>
      <c r="F7" s="243"/>
      <c r="G7" s="251" t="s">
        <v>163</v>
      </c>
      <c r="H7" s="252"/>
      <c r="I7" s="253"/>
      <c r="J7" s="241" t="s">
        <v>164</v>
      </c>
      <c r="K7" s="242"/>
      <c r="L7" s="243"/>
      <c r="M7" s="241" t="s">
        <v>165</v>
      </c>
      <c r="N7" s="242"/>
      <c r="O7" s="242"/>
      <c r="P7" s="242"/>
      <c r="Q7" s="65"/>
      <c r="R7" s="65"/>
      <c r="S7" s="65"/>
      <c r="T7" s="65"/>
      <c r="W7" s="97"/>
      <c r="X7" s="68"/>
      <c r="Y7" s="97"/>
      <c r="Z7" s="65"/>
      <c r="AA7" s="65"/>
      <c r="AB7" s="65"/>
      <c r="AC7" s="65"/>
      <c r="AD7" s="65"/>
      <c r="AE7" s="65"/>
      <c r="AF7" s="65"/>
      <c r="AG7" s="65"/>
      <c r="AH7" s="65"/>
    </row>
    <row r="8" spans="1:35" ht="21.95" customHeight="1">
      <c r="A8" s="103" t="s">
        <v>39</v>
      </c>
      <c r="B8" s="250" t="str">
        <f>DaTa!I6</f>
        <v>B20</v>
      </c>
      <c r="C8" s="250"/>
      <c r="D8" s="103" t="s">
        <v>76</v>
      </c>
      <c r="E8" s="248" t="str">
        <f>DaTa!I14</f>
        <v>CB400V</v>
      </c>
      <c r="F8" s="249"/>
      <c r="G8" s="254"/>
      <c r="H8" s="255"/>
      <c r="I8" s="256"/>
      <c r="J8" s="104" t="s">
        <v>160</v>
      </c>
      <c r="K8" s="102">
        <v>30</v>
      </c>
      <c r="L8" s="134" t="s">
        <v>37</v>
      </c>
      <c r="M8" s="207" t="s">
        <v>128</v>
      </c>
      <c r="N8" s="207"/>
      <c r="O8" s="207"/>
      <c r="P8" s="132" t="s">
        <v>129</v>
      </c>
      <c r="Q8" s="65"/>
      <c r="R8" s="65"/>
      <c r="V8" s="106"/>
      <c r="W8" s="106"/>
      <c r="X8" s="106"/>
      <c r="Y8" s="106"/>
      <c r="Z8" s="106"/>
      <c r="AA8" s="106"/>
      <c r="AB8" s="106"/>
      <c r="AC8" s="106"/>
      <c r="AD8" s="106"/>
      <c r="AE8" s="65"/>
      <c r="AF8" s="65"/>
      <c r="AG8" s="65"/>
      <c r="AH8" s="65"/>
    </row>
    <row r="9" spans="1:35" ht="21.95" customHeight="1">
      <c r="A9" s="104" t="s">
        <v>47</v>
      </c>
      <c r="B9" s="105">
        <f>DaTa!J7</f>
        <v>115</v>
      </c>
      <c r="C9" s="148" t="s">
        <v>158</v>
      </c>
      <c r="D9" s="104" t="s">
        <v>159</v>
      </c>
      <c r="E9" s="105">
        <f>DaTa!J15</f>
        <v>3500</v>
      </c>
      <c r="F9" s="148" t="s">
        <v>158</v>
      </c>
      <c r="G9" s="104" t="s">
        <v>122</v>
      </c>
      <c r="H9" s="102">
        <v>40</v>
      </c>
      <c r="I9" s="134" t="s">
        <v>44</v>
      </c>
      <c r="J9" s="104" t="s">
        <v>161</v>
      </c>
      <c r="K9" s="102">
        <v>60</v>
      </c>
      <c r="L9" s="134" t="s">
        <v>37</v>
      </c>
      <c r="M9" s="207" t="s">
        <v>130</v>
      </c>
      <c r="N9" s="207"/>
      <c r="O9" s="247" t="s">
        <v>67</v>
      </c>
      <c r="P9" s="247"/>
      <c r="Q9" s="65"/>
      <c r="R9" s="65"/>
      <c r="U9" s="163"/>
      <c r="V9" s="163"/>
      <c r="W9" s="107"/>
      <c r="X9" s="107"/>
      <c r="Y9" s="107"/>
      <c r="Z9" s="107"/>
      <c r="AA9" s="107"/>
      <c r="AB9" s="107"/>
      <c r="AC9" s="107"/>
      <c r="AD9" s="107"/>
      <c r="AE9" s="65"/>
      <c r="AF9" s="65"/>
      <c r="AG9" s="65"/>
      <c r="AH9" s="65"/>
    </row>
    <row r="10" spans="1:35" ht="21.95" customHeight="1">
      <c r="A10" s="104" t="s">
        <v>48</v>
      </c>
      <c r="B10" s="105">
        <f>DaTa!J8</f>
        <v>9</v>
      </c>
      <c r="C10" s="148" t="s">
        <v>158</v>
      </c>
      <c r="D10" s="104" t="s">
        <v>61</v>
      </c>
      <c r="E10" s="105">
        <f>DaTa!J24</f>
        <v>1700</v>
      </c>
      <c r="F10" s="148" t="s">
        <v>158</v>
      </c>
      <c r="G10" s="104" t="s">
        <v>123</v>
      </c>
      <c r="H10" s="102">
        <v>160</v>
      </c>
      <c r="I10" s="134" t="s">
        <v>44</v>
      </c>
      <c r="J10" s="104" t="s">
        <v>162</v>
      </c>
      <c r="K10" s="102">
        <v>3.5</v>
      </c>
      <c r="L10" s="134" t="s">
        <v>37</v>
      </c>
      <c r="M10" s="139" t="s">
        <v>186</v>
      </c>
      <c r="N10" s="137" t="s">
        <v>187</v>
      </c>
      <c r="O10" s="139" t="s">
        <v>188</v>
      </c>
      <c r="P10" s="139" t="s">
        <v>189</v>
      </c>
      <c r="Q10" s="65"/>
      <c r="R10" s="65"/>
      <c r="U10" s="66"/>
      <c r="V10" s="98"/>
      <c r="W10" s="66"/>
      <c r="X10" s="66"/>
      <c r="Y10" s="66"/>
      <c r="Z10" s="66"/>
      <c r="AA10" s="66"/>
      <c r="AB10" s="66"/>
      <c r="AC10" s="66"/>
      <c r="AD10" s="66"/>
      <c r="AE10" s="65"/>
      <c r="AF10" s="65"/>
      <c r="AG10" s="65"/>
      <c r="AH10" s="65"/>
    </row>
    <row r="11" spans="1:35" ht="21.95" customHeight="1">
      <c r="A11" s="104" t="s">
        <v>51</v>
      </c>
      <c r="B11" s="105">
        <f>DaTa!J11</f>
        <v>275000</v>
      </c>
      <c r="C11" s="148" t="s">
        <v>158</v>
      </c>
      <c r="D11" s="104" t="s">
        <v>79</v>
      </c>
      <c r="E11" s="131">
        <f>DaTa!J19</f>
        <v>2000000</v>
      </c>
      <c r="F11" s="148" t="s">
        <v>158</v>
      </c>
      <c r="G11" s="104" t="s">
        <v>121</v>
      </c>
      <c r="H11" s="102">
        <v>120</v>
      </c>
      <c r="I11" s="103" t="s">
        <v>82</v>
      </c>
      <c r="J11" s="104" t="s">
        <v>204</v>
      </c>
      <c r="K11" s="137">
        <f>K9-K10</f>
        <v>56.5</v>
      </c>
      <c r="L11" s="134" t="s">
        <v>37</v>
      </c>
      <c r="M11" s="138">
        <f>IF(P8="Ngắn hạn",1,0.9)</f>
        <v>0.9</v>
      </c>
      <c r="N11" s="138">
        <f>E9/E11</f>
        <v>1.75E-3</v>
      </c>
      <c r="O11" s="138">
        <f>IF(P8="Ngắn hạn",VLOOKUP($B$8,DaTa!$N$4:$R$24,5,0),IF(O9="RH &lt; 40%",VLOOKUP($B$8,DaTa!$N$4:$Q$24,2,0),IF(O9="40% ≤ RH ≤ 75%",VLOOKUP($B$8,DaTa!$N$4:$Q$24,3,0),IF(O9="RH &gt; 75%",VLOOKUP($B$8,DaTa!$N$4:$Q$24,4,0),""))))</f>
        <v>4.1999999999999997E-3</v>
      </c>
      <c r="P11" s="149">
        <f>IF(B9&lt;370,0.8/(1+N11/O11),0.7/(1+N11/O11))</f>
        <v>0.56470588235294117</v>
      </c>
      <c r="Q11" s="65"/>
      <c r="R11" s="65"/>
      <c r="U11" s="67"/>
      <c r="V11" s="67"/>
      <c r="W11" s="97"/>
      <c r="X11" s="97"/>
      <c r="Y11" s="97"/>
      <c r="Z11" s="97"/>
      <c r="AA11" s="97"/>
      <c r="AB11" s="97"/>
      <c r="AC11" s="97"/>
      <c r="AD11" s="97"/>
      <c r="AG11" s="65"/>
      <c r="AH11" s="65"/>
    </row>
    <row r="12" spans="1:35" ht="21.95" customHeight="1">
      <c r="A12" s="257" t="s">
        <v>166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65"/>
      <c r="R12" s="65"/>
      <c r="V12" s="67"/>
      <c r="W12" s="97"/>
      <c r="X12" s="97"/>
      <c r="Y12" s="97"/>
      <c r="Z12" s="97"/>
      <c r="AA12" s="97"/>
      <c r="AB12" s="97"/>
      <c r="AC12" s="97"/>
      <c r="AD12" s="97"/>
      <c r="AG12" s="65"/>
      <c r="AH12" s="65"/>
    </row>
    <row r="13" spans="1:35" ht="21.95" customHeight="1">
      <c r="A13" s="258" t="s">
        <v>167</v>
      </c>
      <c r="B13" s="258"/>
      <c r="C13" s="258"/>
      <c r="D13" s="258"/>
      <c r="E13" s="258"/>
      <c r="F13" s="258"/>
      <c r="G13" s="258"/>
      <c r="H13" s="258"/>
      <c r="I13" s="258" t="s">
        <v>168</v>
      </c>
      <c r="J13" s="258"/>
      <c r="K13" s="258"/>
      <c r="L13" s="258"/>
      <c r="M13" s="258"/>
      <c r="N13" s="258"/>
      <c r="O13" s="258"/>
      <c r="P13" s="258"/>
      <c r="Q13" s="65"/>
      <c r="R13" s="65"/>
      <c r="U13" s="67"/>
      <c r="V13" s="67"/>
      <c r="W13" s="97"/>
      <c r="X13" s="97"/>
      <c r="Y13" s="97"/>
      <c r="Z13" s="97"/>
      <c r="AA13" s="97"/>
      <c r="AB13" s="97"/>
      <c r="AC13" s="97"/>
      <c r="AD13" s="97"/>
      <c r="AG13" s="65"/>
      <c r="AH13" s="65"/>
    </row>
    <row r="14" spans="1:35" ht="21.95" customHeight="1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65"/>
      <c r="R14" s="65"/>
      <c r="U14" s="67"/>
      <c r="V14" s="67"/>
      <c r="W14" s="97"/>
      <c r="X14" s="97"/>
      <c r="Y14" s="97"/>
      <c r="Z14" s="97"/>
      <c r="AA14" s="97"/>
      <c r="AB14" s="97"/>
      <c r="AC14" s="97"/>
      <c r="AD14" s="97"/>
      <c r="AG14" s="65"/>
      <c r="AH14" s="65"/>
    </row>
    <row r="15" spans="1:35" ht="21.95" customHeight="1">
      <c r="A15" s="139" t="s">
        <v>180</v>
      </c>
      <c r="B15" s="142">
        <f>K8</f>
        <v>30</v>
      </c>
      <c r="C15" s="223"/>
      <c r="D15" s="224"/>
      <c r="E15" s="224"/>
      <c r="F15" s="224"/>
      <c r="G15" s="224"/>
      <c r="H15" s="225"/>
      <c r="I15" s="139" t="s">
        <v>180</v>
      </c>
      <c r="J15" s="142">
        <f>K9</f>
        <v>60</v>
      </c>
      <c r="K15" s="214"/>
      <c r="L15" s="215"/>
      <c r="M15" s="215"/>
      <c r="N15" s="215"/>
      <c r="O15" s="215"/>
      <c r="P15" s="216"/>
      <c r="Q15" s="65"/>
      <c r="R15" s="65"/>
      <c r="U15" s="67"/>
      <c r="V15" s="67"/>
      <c r="W15" s="97"/>
      <c r="X15" s="97"/>
      <c r="Y15" s="97"/>
      <c r="Z15" s="97"/>
      <c r="AA15" s="97"/>
      <c r="AB15" s="97"/>
      <c r="AC15" s="97"/>
      <c r="AD15" s="97"/>
      <c r="AG15" s="65"/>
      <c r="AH15" s="65"/>
    </row>
    <row r="16" spans="1:35" ht="21.95" customHeight="1">
      <c r="A16" s="139" t="s">
        <v>181</v>
      </c>
      <c r="B16" s="142">
        <f>K9</f>
        <v>60</v>
      </c>
      <c r="C16" s="209"/>
      <c r="D16" s="226"/>
      <c r="E16" s="226"/>
      <c r="F16" s="226"/>
      <c r="G16" s="226"/>
      <c r="H16" s="227"/>
      <c r="I16" s="139" t="s">
        <v>181</v>
      </c>
      <c r="J16" s="142">
        <f>K8</f>
        <v>30</v>
      </c>
      <c r="K16" s="217"/>
      <c r="L16" s="218"/>
      <c r="M16" s="218"/>
      <c r="N16" s="218"/>
      <c r="O16" s="218"/>
      <c r="P16" s="219"/>
      <c r="Q16" s="65"/>
      <c r="R16" s="65"/>
      <c r="U16" s="67"/>
      <c r="V16" s="67"/>
      <c r="W16" s="97"/>
      <c r="X16" s="97"/>
      <c r="Y16" s="97"/>
      <c r="Z16" s="97"/>
      <c r="AA16" s="97"/>
      <c r="AB16" s="97"/>
      <c r="AC16" s="97"/>
      <c r="AD16" s="97"/>
      <c r="AG16" s="65"/>
      <c r="AH16" s="65"/>
    </row>
    <row r="17" spans="1:42" ht="21.95" customHeight="1">
      <c r="A17" s="139" t="s">
        <v>205</v>
      </c>
      <c r="B17" s="159">
        <f>K10</f>
        <v>3.5</v>
      </c>
      <c r="C17" s="209"/>
      <c r="D17" s="226"/>
      <c r="E17" s="226"/>
      <c r="F17" s="226"/>
      <c r="G17" s="226"/>
      <c r="H17" s="227"/>
      <c r="I17" s="139" t="s">
        <v>205</v>
      </c>
      <c r="J17" s="129">
        <v>3.5</v>
      </c>
      <c r="K17" s="217"/>
      <c r="L17" s="218"/>
      <c r="M17" s="218"/>
      <c r="N17" s="218"/>
      <c r="O17" s="218"/>
      <c r="P17" s="219"/>
      <c r="Q17" s="65"/>
      <c r="R17" s="65"/>
      <c r="U17" s="67"/>
      <c r="V17" s="67"/>
      <c r="W17" s="97"/>
      <c r="X17" s="97"/>
      <c r="Y17" s="97"/>
      <c r="Z17" s="97"/>
      <c r="AA17" s="97"/>
      <c r="AB17" s="97"/>
      <c r="AC17" s="97"/>
      <c r="AD17" s="97"/>
      <c r="AG17" s="65"/>
      <c r="AH17" s="65"/>
    </row>
    <row r="18" spans="1:42" ht="21.95" customHeight="1">
      <c r="A18" s="152" t="s">
        <v>206</v>
      </c>
      <c r="B18" s="135">
        <v>3.5</v>
      </c>
      <c r="C18" s="209"/>
      <c r="D18" s="226"/>
      <c r="E18" s="226"/>
      <c r="F18" s="226"/>
      <c r="G18" s="226"/>
      <c r="H18" s="227"/>
      <c r="I18" s="152" t="s">
        <v>206</v>
      </c>
      <c r="J18" s="142">
        <f>J17</f>
        <v>3.5</v>
      </c>
      <c r="K18" s="217"/>
      <c r="L18" s="218"/>
      <c r="M18" s="218"/>
      <c r="N18" s="218"/>
      <c r="O18" s="218"/>
      <c r="P18" s="219"/>
      <c r="Q18" s="65"/>
      <c r="R18" s="65"/>
      <c r="U18" s="67"/>
      <c r="V18" s="67"/>
      <c r="W18" s="97"/>
      <c r="X18" s="97"/>
      <c r="Y18" s="97"/>
      <c r="Z18" s="97"/>
      <c r="AA18" s="97"/>
      <c r="AB18" s="97"/>
      <c r="AC18" s="97"/>
      <c r="AD18" s="97"/>
      <c r="AG18" s="65"/>
      <c r="AH18" s="65"/>
    </row>
    <row r="19" spans="1:42" ht="21.95" customHeight="1">
      <c r="A19" s="139" t="s">
        <v>197</v>
      </c>
      <c r="B19" s="142">
        <f>B16-B17</f>
        <v>56.5</v>
      </c>
      <c r="C19" s="209"/>
      <c r="D19" s="226"/>
      <c r="E19" s="226"/>
      <c r="F19" s="226"/>
      <c r="G19" s="226"/>
      <c r="H19" s="227"/>
      <c r="I19" s="139" t="s">
        <v>198</v>
      </c>
      <c r="J19" s="142">
        <f>J16-J17</f>
        <v>26.5</v>
      </c>
      <c r="K19" s="217"/>
      <c r="L19" s="218"/>
      <c r="M19" s="218"/>
      <c r="N19" s="218"/>
      <c r="O19" s="218"/>
      <c r="P19" s="219"/>
      <c r="Q19" s="65"/>
      <c r="R19" s="65"/>
      <c r="U19" s="67"/>
      <c r="V19" s="67"/>
      <c r="W19" s="97"/>
      <c r="X19" s="97"/>
      <c r="Y19" s="97"/>
      <c r="Z19" s="97"/>
      <c r="AA19" s="97"/>
      <c r="AB19" s="97"/>
      <c r="AC19" s="97"/>
      <c r="AD19" s="97"/>
      <c r="AG19" s="65"/>
      <c r="AH19" s="65"/>
    </row>
    <row r="20" spans="1:42" ht="21.95" customHeight="1">
      <c r="A20" s="140" t="s">
        <v>200</v>
      </c>
      <c r="B20" s="237">
        <f>P11*B19</f>
        <v>31.905882352941177</v>
      </c>
      <c r="C20" s="209"/>
      <c r="D20" s="226"/>
      <c r="E20" s="226"/>
      <c r="F20" s="226"/>
      <c r="G20" s="226"/>
      <c r="H20" s="227"/>
      <c r="I20" s="140" t="s">
        <v>199</v>
      </c>
      <c r="J20" s="237">
        <f>P11*J19</f>
        <v>14.964705882352941</v>
      </c>
      <c r="K20" s="217"/>
      <c r="L20" s="218"/>
      <c r="M20" s="218"/>
      <c r="N20" s="218"/>
      <c r="O20" s="218"/>
      <c r="P20" s="219"/>
      <c r="Q20" s="65"/>
      <c r="R20" s="65"/>
      <c r="U20" s="67"/>
      <c r="V20" s="67"/>
      <c r="W20" s="97"/>
      <c r="X20" s="97"/>
      <c r="Y20" s="97"/>
      <c r="Z20" s="97"/>
      <c r="AA20" s="97"/>
      <c r="AB20" s="97"/>
      <c r="AC20" s="97"/>
      <c r="AD20" s="97"/>
      <c r="AG20" s="65"/>
      <c r="AH20" s="65"/>
    </row>
    <row r="21" spans="1:42" ht="21.95" customHeight="1">
      <c r="A21" s="183" t="s">
        <v>37</v>
      </c>
      <c r="B21" s="238"/>
      <c r="C21" s="209"/>
      <c r="D21" s="226"/>
      <c r="E21" s="226"/>
      <c r="F21" s="226"/>
      <c r="G21" s="226"/>
      <c r="H21" s="227"/>
      <c r="I21" s="183" t="s">
        <v>37</v>
      </c>
      <c r="J21" s="238"/>
      <c r="K21" s="217"/>
      <c r="L21" s="218"/>
      <c r="M21" s="218"/>
      <c r="N21" s="218"/>
      <c r="O21" s="218"/>
      <c r="P21" s="219"/>
      <c r="Q21" s="65"/>
      <c r="R21" s="65"/>
      <c r="U21" s="67"/>
      <c r="V21" s="67"/>
      <c r="W21" s="97"/>
      <c r="X21" s="97"/>
      <c r="Y21" s="97"/>
      <c r="Z21" s="97"/>
      <c r="AA21" s="97"/>
      <c r="AB21" s="97"/>
      <c r="AC21" s="97"/>
      <c r="AD21" s="97"/>
      <c r="AG21" s="65"/>
      <c r="AH21" s="65"/>
    </row>
    <row r="22" spans="1:42" ht="21.95" customHeight="1">
      <c r="A22" s="139" t="s">
        <v>131</v>
      </c>
      <c r="B22" s="160">
        <f>ABS(H10)/ABS(H9)</f>
        <v>4</v>
      </c>
      <c r="C22" s="209"/>
      <c r="D22" s="226"/>
      <c r="E22" s="226"/>
      <c r="F22" s="226"/>
      <c r="G22" s="226"/>
      <c r="H22" s="227"/>
      <c r="I22" s="139" t="s">
        <v>131</v>
      </c>
      <c r="J22" s="138">
        <v>0</v>
      </c>
      <c r="K22" s="217"/>
      <c r="L22" s="218"/>
      <c r="M22" s="218"/>
      <c r="N22" s="218"/>
      <c r="O22" s="218"/>
      <c r="P22" s="219"/>
      <c r="Q22" s="65"/>
      <c r="R22" s="65"/>
      <c r="U22" s="67"/>
      <c r="V22" s="67"/>
      <c r="W22" s="97"/>
      <c r="X22" s="97"/>
      <c r="Y22" s="97"/>
      <c r="Z22" s="97"/>
      <c r="AA22" s="97"/>
      <c r="AB22" s="97"/>
      <c r="AC22" s="97"/>
      <c r="AD22" s="97"/>
      <c r="AG22" s="65"/>
      <c r="AH22" s="65"/>
    </row>
    <row r="23" spans="1:42" ht="21.95" customHeight="1">
      <c r="A23" s="139" t="s">
        <v>185</v>
      </c>
      <c r="B23" s="138">
        <v>1</v>
      </c>
      <c r="C23" s="228"/>
      <c r="D23" s="229"/>
      <c r="E23" s="229"/>
      <c r="F23" s="229"/>
      <c r="G23" s="229"/>
      <c r="H23" s="230"/>
      <c r="I23" s="146" t="s">
        <v>185</v>
      </c>
      <c r="J23" s="161">
        <f>1+((ABS(H11)*(J16/100))/(2*ABS(H9)))</f>
        <v>1.45</v>
      </c>
      <c r="K23" s="220"/>
      <c r="L23" s="221"/>
      <c r="M23" s="221"/>
      <c r="N23" s="221"/>
      <c r="O23" s="221"/>
      <c r="P23" s="222"/>
      <c r="Q23" s="65"/>
      <c r="R23" s="65"/>
      <c r="U23" s="67"/>
      <c r="V23" s="67"/>
      <c r="W23" s="97"/>
      <c r="X23" s="97"/>
      <c r="Y23" s="97"/>
      <c r="Z23" s="97"/>
      <c r="AA23" s="97"/>
      <c r="AB23" s="97"/>
      <c r="AC23" s="97"/>
      <c r="AD23" s="97"/>
      <c r="AG23" s="65"/>
      <c r="AH23" s="65"/>
    </row>
    <row r="24" spans="1:42" ht="21.95" customHeight="1">
      <c r="A24" s="239" t="s">
        <v>174</v>
      </c>
      <c r="B24" s="207" t="s">
        <v>175</v>
      </c>
      <c r="C24" s="207"/>
      <c r="D24" s="207" t="s">
        <v>176</v>
      </c>
      <c r="E24" s="207"/>
      <c r="F24" s="240" t="s">
        <v>83</v>
      </c>
      <c r="G24" s="142" t="s">
        <v>170</v>
      </c>
      <c r="H24" s="135">
        <v>2</v>
      </c>
      <c r="I24" s="239" t="s">
        <v>174</v>
      </c>
      <c r="J24" s="207" t="s">
        <v>175</v>
      </c>
      <c r="K24" s="207"/>
      <c r="L24" s="207" t="s">
        <v>176</v>
      </c>
      <c r="M24" s="207"/>
      <c r="N24" s="240" t="s">
        <v>83</v>
      </c>
      <c r="O24" s="142" t="s">
        <v>170</v>
      </c>
      <c r="P24" s="135">
        <v>2</v>
      </c>
      <c r="Q24" s="65"/>
      <c r="V24" s="67"/>
      <c r="W24" s="97"/>
      <c r="X24" s="97"/>
      <c r="Y24" s="97"/>
      <c r="Z24" s="97"/>
      <c r="AA24" s="97"/>
      <c r="AB24" s="97"/>
      <c r="AC24" s="97"/>
      <c r="AD24" s="97"/>
      <c r="AG24" s="65"/>
      <c r="AH24" s="65"/>
    </row>
    <row r="25" spans="1:42" ht="21.95" customHeight="1">
      <c r="A25" s="239"/>
      <c r="B25" s="78">
        <v>4</v>
      </c>
      <c r="C25" s="79">
        <v>18</v>
      </c>
      <c r="D25" s="78">
        <v>2</v>
      </c>
      <c r="E25" s="79">
        <v>16</v>
      </c>
      <c r="F25" s="240"/>
      <c r="G25" s="142" t="s">
        <v>171</v>
      </c>
      <c r="H25" s="79">
        <v>10</v>
      </c>
      <c r="I25" s="239"/>
      <c r="J25" s="78">
        <v>1</v>
      </c>
      <c r="K25" s="79">
        <v>18</v>
      </c>
      <c r="L25" s="78">
        <v>1</v>
      </c>
      <c r="M25" s="79">
        <v>18</v>
      </c>
      <c r="N25" s="240"/>
      <c r="O25" s="142" t="s">
        <v>171</v>
      </c>
      <c r="P25" s="79">
        <v>10</v>
      </c>
      <c r="Q25" s="65"/>
      <c r="X25" s="97"/>
      <c r="Y25" s="97"/>
      <c r="Z25" s="97"/>
      <c r="AA25" s="97"/>
      <c r="AB25" s="97"/>
      <c r="AC25" s="97"/>
      <c r="AD25" s="97"/>
      <c r="AG25" s="65"/>
      <c r="AH25" s="65"/>
    </row>
    <row r="26" spans="1:42" ht="21.95" customHeight="1">
      <c r="A26" s="239"/>
      <c r="B26" s="78"/>
      <c r="C26" s="79"/>
      <c r="D26" s="78"/>
      <c r="E26" s="79"/>
      <c r="F26" s="240"/>
      <c r="G26" s="142" t="s">
        <v>173</v>
      </c>
      <c r="H26" s="78">
        <v>70</v>
      </c>
      <c r="I26" s="239"/>
      <c r="J26" s="78">
        <v>1</v>
      </c>
      <c r="K26" s="79">
        <v>16</v>
      </c>
      <c r="L26" s="78">
        <v>1</v>
      </c>
      <c r="M26" s="79">
        <v>16</v>
      </c>
      <c r="N26" s="240"/>
      <c r="O26" s="142" t="s">
        <v>173</v>
      </c>
      <c r="P26" s="78">
        <v>70</v>
      </c>
      <c r="Q26" s="65"/>
      <c r="X26" s="97"/>
      <c r="Y26" s="97"/>
      <c r="Z26" s="97"/>
      <c r="AA26" s="97"/>
      <c r="AB26" s="97"/>
      <c r="AC26" s="97"/>
      <c r="AD26" s="97"/>
      <c r="AG26" s="65"/>
      <c r="AH26" s="65"/>
    </row>
    <row r="27" spans="1:42" ht="21.95" customHeight="1">
      <c r="A27" s="239"/>
      <c r="B27" s="78"/>
      <c r="C27" s="79"/>
      <c r="D27" s="142"/>
      <c r="E27" s="131"/>
      <c r="F27" s="240"/>
      <c r="G27" s="142" t="s">
        <v>177</v>
      </c>
      <c r="H27" s="150">
        <f>0.25*PI()*(H25/10)^2</f>
        <v>0.78539816339744828</v>
      </c>
      <c r="I27" s="239"/>
      <c r="J27" s="78">
        <v>1</v>
      </c>
      <c r="K27" s="79">
        <v>14</v>
      </c>
      <c r="L27" s="78">
        <v>1</v>
      </c>
      <c r="M27" s="79">
        <v>14</v>
      </c>
      <c r="N27" s="240"/>
      <c r="O27" s="142" t="s">
        <v>177</v>
      </c>
      <c r="P27" s="150">
        <f>0.25*PI()*(P25/10)^2</f>
        <v>0.78539816339744828</v>
      </c>
      <c r="Q27" s="65"/>
      <c r="V27" s="67"/>
      <c r="W27" s="97"/>
      <c r="X27" s="97"/>
      <c r="Y27" s="97"/>
      <c r="Z27" s="97"/>
      <c r="AA27" s="97"/>
      <c r="AB27" s="97"/>
      <c r="AC27" s="97"/>
      <c r="AD27" s="97"/>
      <c r="AG27" s="65"/>
      <c r="AH27" s="65"/>
    </row>
    <row r="28" spans="1:42" ht="21.95" customHeight="1">
      <c r="A28" s="239"/>
      <c r="B28" s="142" t="s">
        <v>195</v>
      </c>
      <c r="C28" s="95">
        <f>(B25*C25^2+B26*C26^2+B27*C27^2)*PI()/4/100</f>
        <v>10.178760197630929</v>
      </c>
      <c r="D28" s="142" t="s">
        <v>169</v>
      </c>
      <c r="E28" s="95">
        <f>(D25*E25^2+D26*E26^2+D27*E27^2)*PI()/4/100</f>
        <v>4.0212385965949355</v>
      </c>
      <c r="F28" s="240"/>
      <c r="G28" s="142" t="s">
        <v>172</v>
      </c>
      <c r="H28" s="150">
        <f>H24*0.25*PI()*(H25/10)^2</f>
        <v>1.5707963267948966</v>
      </c>
      <c r="I28" s="239"/>
      <c r="J28" s="142" t="s">
        <v>195</v>
      </c>
      <c r="K28" s="95">
        <f>(J25*K25^2+J26*K26^2+J27*K27^2)*PI()/4/100</f>
        <v>6.0946897479641988</v>
      </c>
      <c r="L28" s="142" t="s">
        <v>169</v>
      </c>
      <c r="M28" s="95">
        <f>(L25*M25^2+L26*M26^2+L27*M27^2)*PI()/4/100</f>
        <v>6.0946897479641988</v>
      </c>
      <c r="N28" s="240"/>
      <c r="O28" s="142" t="s">
        <v>172</v>
      </c>
      <c r="P28" s="150">
        <f>P24*0.25*PI()*(P25/10)^2</f>
        <v>1.5707963267948966</v>
      </c>
      <c r="Q28" s="65"/>
      <c r="V28" s="67"/>
      <c r="W28" s="97"/>
      <c r="X28" s="97"/>
      <c r="Y28" s="97"/>
      <c r="Z28" s="97"/>
      <c r="AA28" s="97"/>
      <c r="AB28" s="97"/>
      <c r="AC28" s="97"/>
      <c r="AD28" s="97"/>
      <c r="AG28" s="65"/>
      <c r="AH28" s="65"/>
    </row>
    <row r="29" spans="1:42" ht="21.95" customHeight="1">
      <c r="A29" s="212" t="s">
        <v>178</v>
      </c>
      <c r="B29" s="212"/>
      <c r="C29" s="212"/>
      <c r="D29" s="212"/>
      <c r="E29" s="212"/>
      <c r="F29" s="212"/>
      <c r="G29" s="212"/>
      <c r="H29" s="212"/>
      <c r="I29" s="213" t="s">
        <v>179</v>
      </c>
      <c r="J29" s="213"/>
      <c r="K29" s="213"/>
      <c r="L29" s="213"/>
      <c r="M29" s="213"/>
      <c r="N29" s="213"/>
      <c r="O29" s="213"/>
      <c r="P29" s="213"/>
      <c r="Q29" s="108"/>
      <c r="AM29" s="65"/>
      <c r="AN29" s="65"/>
      <c r="AO29" s="65"/>
      <c r="AP29" s="65"/>
    </row>
    <row r="30" spans="1:42" ht="21.95" customHeight="1">
      <c r="A30" s="153" t="s">
        <v>85</v>
      </c>
      <c r="B30" s="151">
        <f>H9</f>
        <v>40</v>
      </c>
      <c r="C30" s="154" t="s">
        <v>44</v>
      </c>
      <c r="D30" s="155" t="str">
        <f>IF(B30&lt;G30,"&lt;",IF(B30=G30,"=","&gt;"))</f>
        <v>&lt;</v>
      </c>
      <c r="E30" s="259" t="s">
        <v>84</v>
      </c>
      <c r="F30" s="259"/>
      <c r="G30" s="156">
        <f>0.1*B9*K8^2*K9/10^4</f>
        <v>62.1</v>
      </c>
      <c r="H30" s="154" t="s">
        <v>44</v>
      </c>
      <c r="I30" s="165" t="s">
        <v>105</v>
      </c>
      <c r="J30" s="96"/>
      <c r="K30" s="96"/>
      <c r="L30" s="96"/>
      <c r="M30" s="96"/>
      <c r="N30" s="96"/>
      <c r="O30" s="96"/>
      <c r="P30" s="109"/>
      <c r="Q30" s="108"/>
      <c r="AG30" s="65"/>
      <c r="AH30" s="65"/>
      <c r="AM30" s="65"/>
      <c r="AN30" s="65"/>
      <c r="AO30" s="65"/>
      <c r="AP30" s="65"/>
    </row>
    <row r="31" spans="1:42" ht="21.95" customHeight="1">
      <c r="A31" s="158" t="s">
        <v>182</v>
      </c>
      <c r="B31" s="115" t="str">
        <f>IF(D30="&gt;","Không đảm bảo độ bền cấu kiện giữa các tiết diện không gian.","Đảm bảo độ bền cấu kiện giữa các tiết diện không gian.")</f>
        <v>Đảm bảo độ bền cấu kiện giữa các tiết diện không gian.</v>
      </c>
      <c r="C31" s="65"/>
      <c r="D31" s="65"/>
      <c r="E31" s="65"/>
      <c r="F31" s="65"/>
      <c r="G31" s="65"/>
      <c r="H31" s="65"/>
      <c r="I31" s="118" t="s">
        <v>106</v>
      </c>
      <c r="J31" s="65"/>
      <c r="K31" s="65"/>
      <c r="L31" s="119" t="s">
        <v>107</v>
      </c>
      <c r="M31" s="113">
        <f>0.1*B9*K8^2*K9/10^4</f>
        <v>62.1</v>
      </c>
      <c r="N31" s="112" t="s">
        <v>44</v>
      </c>
      <c r="O31" s="65"/>
      <c r="P31" s="116"/>
      <c r="Q31" s="65"/>
      <c r="Z31" s="65"/>
      <c r="AA31" s="65"/>
      <c r="AB31" s="65"/>
      <c r="AC31" s="65"/>
      <c r="AD31" s="65"/>
      <c r="AE31" s="65"/>
      <c r="AF31" s="65"/>
      <c r="AG31" s="65"/>
      <c r="AH31" s="65"/>
      <c r="AJ31" s="65"/>
      <c r="AK31" s="65"/>
      <c r="AL31" s="65"/>
      <c r="AM31" s="65"/>
      <c r="AN31" s="65"/>
      <c r="AO31" s="65"/>
      <c r="AP31" s="65"/>
    </row>
    <row r="32" spans="1:42" ht="21.95" customHeight="1">
      <c r="A32" s="118"/>
      <c r="B32" s="65"/>
      <c r="C32" s="65"/>
      <c r="D32" s="65"/>
      <c r="E32" s="65"/>
      <c r="F32" s="65"/>
      <c r="G32" s="65"/>
      <c r="H32" s="65"/>
      <c r="I32" s="120" t="s">
        <v>110</v>
      </c>
      <c r="J32" s="65"/>
      <c r="K32" s="65"/>
      <c r="L32" s="119"/>
      <c r="M32" s="65"/>
      <c r="N32" s="65"/>
      <c r="O32" s="65"/>
      <c r="P32" s="116"/>
      <c r="Q32" s="65"/>
      <c r="Z32" s="65"/>
      <c r="AA32" s="65"/>
      <c r="AB32" s="65"/>
      <c r="AC32" s="65"/>
      <c r="AD32" s="65"/>
      <c r="AE32" s="65"/>
      <c r="AF32" s="65"/>
      <c r="AG32" s="65"/>
      <c r="AH32" s="65"/>
      <c r="AJ32" s="65"/>
      <c r="AK32" s="65"/>
      <c r="AL32" s="65"/>
      <c r="AM32" s="65"/>
      <c r="AN32" s="65"/>
      <c r="AO32" s="65"/>
      <c r="AP32" s="65"/>
    </row>
    <row r="33" spans="1:42" ht="21.95" customHeight="1">
      <c r="A33" s="118"/>
      <c r="B33" s="65"/>
      <c r="C33" s="65"/>
      <c r="D33" s="65"/>
      <c r="E33" s="65"/>
      <c r="F33" s="65"/>
      <c r="G33" s="65"/>
      <c r="H33" s="65"/>
      <c r="I33" s="120"/>
      <c r="J33" s="65"/>
      <c r="K33" s="65"/>
      <c r="L33" s="119" t="s">
        <v>111</v>
      </c>
      <c r="M33" s="113">
        <f>0.3*B9*K8*K11/100</f>
        <v>584.77499999999998</v>
      </c>
      <c r="N33" s="112" t="s">
        <v>82</v>
      </c>
      <c r="O33" s="65"/>
      <c r="P33" s="116"/>
      <c r="Q33" s="65"/>
      <c r="Z33" s="65"/>
      <c r="AA33" s="65"/>
      <c r="AB33" s="65"/>
      <c r="AC33" s="65"/>
      <c r="AD33" s="65"/>
      <c r="AE33" s="65"/>
      <c r="AF33" s="65"/>
      <c r="AG33" s="65"/>
      <c r="AH33" s="65"/>
      <c r="AJ33" s="65"/>
      <c r="AK33" s="65"/>
      <c r="AL33" s="65"/>
      <c r="AM33" s="65"/>
      <c r="AN33" s="65"/>
      <c r="AO33" s="65"/>
      <c r="AP33" s="65"/>
    </row>
    <row r="34" spans="1:42" ht="21.95" customHeight="1">
      <c r="A34" s="118"/>
      <c r="B34" s="65"/>
      <c r="C34" s="65"/>
      <c r="D34" s="65"/>
      <c r="E34" s="65"/>
      <c r="F34" s="65"/>
      <c r="G34" s="65"/>
      <c r="H34" s="65"/>
      <c r="I34" s="110" t="s">
        <v>85</v>
      </c>
      <c r="J34" s="111">
        <f>H9</f>
        <v>40</v>
      </c>
      <c r="K34" s="112" t="s">
        <v>44</v>
      </c>
      <c r="L34" s="136" t="str">
        <f>IF(J34&lt;O34,"&lt;",IF(J34=O34,"=","&gt;"))</f>
        <v>&lt;</v>
      </c>
      <c r="M34" s="211" t="s">
        <v>112</v>
      </c>
      <c r="N34" s="211"/>
      <c r="O34" s="113">
        <f>M31*(1-(H11/M33))</f>
        <v>49.356637168141596</v>
      </c>
      <c r="P34" s="114" t="s">
        <v>44</v>
      </c>
      <c r="Q34" s="65"/>
      <c r="Z34" s="65"/>
      <c r="AA34" s="65"/>
      <c r="AB34" s="65"/>
      <c r="AC34" s="65"/>
      <c r="AD34" s="65"/>
      <c r="AE34" s="65"/>
      <c r="AF34" s="65"/>
      <c r="AG34" s="65"/>
      <c r="AH34" s="65"/>
      <c r="AJ34" s="65"/>
      <c r="AK34" s="65"/>
      <c r="AL34" s="65"/>
      <c r="AM34" s="65"/>
      <c r="AN34" s="65"/>
      <c r="AO34" s="65"/>
      <c r="AP34" s="65"/>
    </row>
    <row r="35" spans="1:42" ht="21.95" customHeight="1">
      <c r="A35" s="157"/>
      <c r="B35" s="123"/>
      <c r="C35" s="123"/>
      <c r="D35" s="123"/>
      <c r="E35" s="123"/>
      <c r="F35" s="123"/>
      <c r="G35" s="123"/>
      <c r="H35" s="123"/>
      <c r="I35" s="166" t="s">
        <v>182</v>
      </c>
      <c r="J35" s="130" t="str">
        <f>IF(L34="&gt;","Không đảm bảo độ bền cấu kiện giữa các tiết diện không gian.","Đảm bảo độ bền cấu kiện giữa các tiết diện không gian.")</f>
        <v>Đảm bảo độ bền cấu kiện giữa các tiết diện không gian.</v>
      </c>
      <c r="K35" s="123"/>
      <c r="L35" s="123"/>
      <c r="M35" s="123"/>
      <c r="N35" s="123"/>
      <c r="O35" s="123"/>
      <c r="P35" s="124"/>
      <c r="Q35" s="65"/>
      <c r="Z35" s="65"/>
      <c r="AA35" s="65"/>
      <c r="AB35" s="65"/>
      <c r="AC35" s="65"/>
      <c r="AD35" s="65"/>
      <c r="AE35" s="65"/>
      <c r="AF35" s="65"/>
      <c r="AG35" s="65"/>
      <c r="AH35" s="65"/>
      <c r="AJ35" s="65"/>
      <c r="AK35" s="65"/>
      <c r="AL35" s="65"/>
      <c r="AM35" s="65"/>
      <c r="AN35" s="65"/>
      <c r="AO35" s="65"/>
      <c r="AP35" s="65"/>
    </row>
    <row r="36" spans="1:42" ht="21.95" customHeight="1">
      <c r="A36" s="231" t="s">
        <v>183</v>
      </c>
      <c r="B36" s="232"/>
      <c r="C36" s="232"/>
      <c r="D36" s="232"/>
      <c r="E36" s="232"/>
      <c r="F36" s="232"/>
      <c r="G36" s="232"/>
      <c r="H36" s="233"/>
      <c r="I36" s="234" t="s">
        <v>184</v>
      </c>
      <c r="J36" s="235"/>
      <c r="K36" s="235"/>
      <c r="L36" s="235"/>
      <c r="M36" s="235"/>
      <c r="N36" s="235"/>
      <c r="O36" s="235"/>
      <c r="P36" s="236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J36" s="65"/>
      <c r="AK36" s="65"/>
      <c r="AL36" s="65"/>
      <c r="AM36" s="65"/>
      <c r="AN36" s="65"/>
      <c r="AO36" s="65"/>
      <c r="AP36" s="65"/>
    </row>
    <row r="37" spans="1:42" ht="21.95" customHeight="1">
      <c r="A37" s="165" t="s">
        <v>104</v>
      </c>
      <c r="B37" s="96"/>
      <c r="C37" s="96"/>
      <c r="D37" s="169" t="s">
        <v>152</v>
      </c>
      <c r="E37" s="156">
        <f>IF((E9*C28-E9*E28)/(B9*B15)&lt;2*B18,MIN(2*B18,E9*C28/(B9*B15)),IF((E9*C28-E9*E28)/(B9*B15)&gt;B20,B20,(E9*C28-E9*E28)/(B9*B15)))</f>
        <v>7</v>
      </c>
      <c r="F37" s="154" t="s">
        <v>37</v>
      </c>
      <c r="G37" s="96"/>
      <c r="H37" s="109"/>
      <c r="I37" s="120" t="s">
        <v>104</v>
      </c>
      <c r="J37" s="65"/>
      <c r="K37" s="65"/>
      <c r="L37" s="119" t="s">
        <v>152</v>
      </c>
      <c r="M37" s="113">
        <f>IF((E9*K28-E9*M28)/(B9*J15)&lt;2*J18,MIN(2*J18,E9*K28/(B9*J15)),IF((E9*K28-E9*M28)/(B9*J15)&gt;J20,J20,(E9*K28-E9*M28)/(B9*J15)))</f>
        <v>3.0915092924456085</v>
      </c>
      <c r="N37" s="112" t="s">
        <v>37</v>
      </c>
      <c r="O37" s="65"/>
      <c r="P37" s="116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J37" s="65"/>
      <c r="AK37" s="65"/>
      <c r="AL37" s="65"/>
      <c r="AM37" s="65"/>
      <c r="AN37" s="65"/>
      <c r="AO37" s="65"/>
      <c r="AP37" s="65"/>
    </row>
    <row r="38" spans="1:42" ht="21.95" customHeight="1">
      <c r="A38" s="117" t="s">
        <v>155</v>
      </c>
      <c r="B38" s="65"/>
      <c r="C38" s="65"/>
      <c r="D38" s="65"/>
      <c r="E38" s="65"/>
      <c r="F38" s="65"/>
      <c r="G38" s="65"/>
      <c r="H38" s="116"/>
      <c r="I38" s="120" t="s">
        <v>86</v>
      </c>
      <c r="J38" s="65"/>
      <c r="K38" s="65"/>
      <c r="L38" s="65"/>
      <c r="M38" s="65"/>
      <c r="N38" s="65"/>
      <c r="O38" s="65"/>
      <c r="P38" s="116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J38" s="65"/>
      <c r="AK38" s="65"/>
      <c r="AL38" s="65"/>
      <c r="AM38" s="65"/>
      <c r="AN38" s="65"/>
      <c r="AO38" s="65"/>
      <c r="AP38" s="65"/>
    </row>
    <row r="39" spans="1:42" ht="21.95" customHeight="1">
      <c r="A39" s="110" t="s">
        <v>153</v>
      </c>
      <c r="B39" s="113">
        <f>IF((E9*C28-E9*E28)/(B9*B15)&lt;2*B18,E9*C28*(B19-0.5*E37)/10^4,((B9*B15*E37*(B19-0.5*E37))+(E9*E28*(B19-B18)))/10^4)</f>
        <v>188.81600166605372</v>
      </c>
      <c r="C39" s="112" t="s">
        <v>44</v>
      </c>
      <c r="D39" s="136" t="str">
        <f>IF(B39&lt;F39,"&lt;",IF(B39=F39,"=","&gt;"))</f>
        <v>&gt;</v>
      </c>
      <c r="E39" s="119" t="s">
        <v>154</v>
      </c>
      <c r="F39" s="111">
        <f>ABS(H10)</f>
        <v>160</v>
      </c>
      <c r="G39" s="112" t="s">
        <v>44</v>
      </c>
      <c r="H39" s="170" t="str">
        <f>IF(D39="&gt;","=&gt; OK","=&gt; NotOK")</f>
        <v>=&gt; OK</v>
      </c>
      <c r="I39" s="118"/>
      <c r="J39" s="65"/>
      <c r="K39" s="65"/>
      <c r="L39" s="119" t="s">
        <v>87</v>
      </c>
      <c r="M39" s="113">
        <f>E10*P27/(P26/10)</f>
        <v>190.73955396795171</v>
      </c>
      <c r="N39" s="112" t="s">
        <v>88</v>
      </c>
      <c r="O39" s="65"/>
      <c r="P39" s="116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J39" s="65"/>
      <c r="AK39" s="65"/>
      <c r="AL39" s="65"/>
      <c r="AM39" s="65"/>
      <c r="AN39" s="65"/>
      <c r="AO39" s="65"/>
      <c r="AP39" s="65"/>
    </row>
    <row r="40" spans="1:42" ht="21.95" customHeight="1">
      <c r="A40" s="120" t="s">
        <v>86</v>
      </c>
      <c r="B40" s="65"/>
      <c r="C40" s="65"/>
      <c r="D40" s="65"/>
      <c r="E40" s="65"/>
      <c r="F40" s="65"/>
      <c r="G40" s="65"/>
      <c r="H40" s="116"/>
      <c r="I40" s="120" t="s">
        <v>126</v>
      </c>
      <c r="J40" s="65"/>
      <c r="K40" s="65"/>
      <c r="L40" s="65"/>
      <c r="M40" s="65"/>
      <c r="N40" s="65"/>
      <c r="O40" s="65"/>
      <c r="P40" s="116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J40" s="65"/>
      <c r="AK40" s="65"/>
      <c r="AL40" s="65"/>
      <c r="AM40" s="65"/>
      <c r="AN40" s="65"/>
      <c r="AO40" s="65"/>
      <c r="AP40" s="65"/>
    </row>
    <row r="41" spans="1:42" ht="21.95" customHeight="1">
      <c r="A41" s="120"/>
      <c r="B41" s="65"/>
      <c r="C41" s="65"/>
      <c r="D41" s="119" t="s">
        <v>87</v>
      </c>
      <c r="E41" s="113">
        <f>E10*H27/(H26/10)</f>
        <v>190.73955396795171</v>
      </c>
      <c r="F41" s="112" t="s">
        <v>88</v>
      </c>
      <c r="G41" s="65"/>
      <c r="H41" s="116"/>
      <c r="I41" s="118"/>
      <c r="J41" s="65"/>
      <c r="K41" s="65"/>
      <c r="L41" s="119" t="s">
        <v>127</v>
      </c>
      <c r="M41" s="171">
        <f>M39*J15/E9/K28</f>
        <v>0.53650326109825364</v>
      </c>
      <c r="N41" s="65"/>
      <c r="O41" s="65"/>
      <c r="P41" s="116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J41" s="65"/>
      <c r="AK41" s="65"/>
      <c r="AL41" s="65"/>
      <c r="AM41" s="65"/>
      <c r="AN41" s="65"/>
      <c r="AO41" s="65"/>
      <c r="AP41" s="65"/>
    </row>
    <row r="42" spans="1:42" ht="21.95" customHeight="1">
      <c r="A42" s="120" t="s">
        <v>126</v>
      </c>
      <c r="B42" s="65"/>
      <c r="C42" s="65"/>
      <c r="D42" s="65"/>
      <c r="E42" s="65"/>
      <c r="F42" s="65"/>
      <c r="G42" s="65"/>
      <c r="H42" s="116"/>
      <c r="I42" s="118"/>
      <c r="J42" s="65"/>
      <c r="K42" s="65"/>
      <c r="L42" s="119" t="s">
        <v>190</v>
      </c>
      <c r="M42" s="179">
        <v>0.5</v>
      </c>
      <c r="N42" s="168" t="s">
        <v>80</v>
      </c>
      <c r="O42" s="136" t="s">
        <v>139</v>
      </c>
      <c r="P42" s="172">
        <f>IF(M41&lt;M42,M41,IF(M41&gt;M43,M43,M41))</f>
        <v>0.53650326109825364</v>
      </c>
    </row>
    <row r="43" spans="1:42" ht="21.95" customHeight="1">
      <c r="A43" s="118"/>
      <c r="B43" s="65"/>
      <c r="C43" s="65"/>
      <c r="D43" s="119" t="s">
        <v>127</v>
      </c>
      <c r="E43" s="171">
        <f>E41*B15/E9/C28</f>
        <v>0.16061980347694632</v>
      </c>
      <c r="F43" s="65"/>
      <c r="G43" s="65"/>
      <c r="H43" s="116"/>
      <c r="I43" s="118"/>
      <c r="J43" s="65"/>
      <c r="K43" s="65"/>
      <c r="L43" s="119" t="s">
        <v>191</v>
      </c>
      <c r="M43" s="179">
        <v>1.5</v>
      </c>
      <c r="N43" s="65"/>
      <c r="O43" s="65"/>
      <c r="P43" s="116"/>
    </row>
    <row r="44" spans="1:42" ht="21.95" customHeight="1">
      <c r="A44" s="120"/>
      <c r="B44" s="65"/>
      <c r="C44" s="65"/>
      <c r="D44" s="119" t="s">
        <v>132</v>
      </c>
      <c r="E44" s="171">
        <f>0.5/(1+ABS(H10)/(2*E43*B39))</f>
        <v>0.13744335996803481</v>
      </c>
      <c r="F44" s="168" t="s">
        <v>80</v>
      </c>
      <c r="G44" s="136" t="s">
        <v>139</v>
      </c>
      <c r="H44" s="172">
        <f>IF(E43&lt;E44,E43,IF(E43&gt;E45,E45,E43))</f>
        <v>0.16061980347694632</v>
      </c>
      <c r="I44" s="118"/>
      <c r="J44" s="174" t="s">
        <v>140</v>
      </c>
      <c r="K44" s="174"/>
      <c r="L44" s="119" t="s">
        <v>141</v>
      </c>
      <c r="M44" s="113">
        <f>IF(M41&lt;M42,M41/M42,1)</f>
        <v>1</v>
      </c>
      <c r="N44" s="65"/>
      <c r="O44" s="65"/>
      <c r="P44" s="116"/>
    </row>
    <row r="45" spans="1:42" ht="21.95" customHeight="1">
      <c r="A45" s="118"/>
      <c r="B45" s="65"/>
      <c r="C45" s="65"/>
      <c r="D45" s="119" t="s">
        <v>133</v>
      </c>
      <c r="E45" s="171">
        <f>1.5*(1-ABS(H10)/B39)</f>
        <v>0.22892128907341225</v>
      </c>
      <c r="F45" s="65"/>
      <c r="G45" s="65"/>
      <c r="H45" s="173"/>
      <c r="I45" s="120" t="s">
        <v>89</v>
      </c>
      <c r="J45" s="65"/>
      <c r="K45" s="65"/>
      <c r="L45" s="65"/>
      <c r="M45" s="65"/>
      <c r="N45" s="65"/>
      <c r="O45" s="65"/>
      <c r="P45" s="116"/>
    </row>
    <row r="46" spans="1:42" ht="21.95" customHeight="1">
      <c r="A46" s="118"/>
      <c r="B46" s="174" t="s">
        <v>140</v>
      </c>
      <c r="C46" s="174"/>
      <c r="D46" s="119" t="s">
        <v>141</v>
      </c>
      <c r="E46" s="111">
        <f>IF(E43&lt;E44,E43/E44,1)</f>
        <v>1</v>
      </c>
      <c r="F46" s="65"/>
      <c r="G46" s="65"/>
      <c r="H46" s="116"/>
      <c r="I46" s="118"/>
      <c r="J46" s="65"/>
      <c r="K46" s="65"/>
      <c r="L46" s="121" t="s">
        <v>90</v>
      </c>
      <c r="M46" s="113">
        <f>J15/(2*J16+J15)</f>
        <v>0.5</v>
      </c>
      <c r="N46" s="65"/>
      <c r="O46" s="65"/>
      <c r="P46" s="116"/>
    </row>
    <row r="47" spans="1:42" ht="21.95" customHeight="1">
      <c r="A47" s="120" t="s">
        <v>89</v>
      </c>
      <c r="B47" s="65"/>
      <c r="C47" s="65"/>
      <c r="D47" s="65"/>
      <c r="E47" s="65"/>
      <c r="F47" s="65"/>
      <c r="G47" s="65"/>
      <c r="H47" s="116"/>
      <c r="I47" s="120" t="s">
        <v>147</v>
      </c>
      <c r="J47" s="65"/>
      <c r="K47" s="65"/>
      <c r="L47" s="65"/>
      <c r="M47" s="65"/>
      <c r="N47" s="65"/>
      <c r="O47" s="65"/>
      <c r="P47" s="116"/>
    </row>
    <row r="48" spans="1:42" ht="21.95" customHeight="1">
      <c r="A48" s="118"/>
      <c r="B48" s="65"/>
      <c r="C48" s="65"/>
      <c r="D48" s="121" t="s">
        <v>90</v>
      </c>
      <c r="E48" s="113">
        <f>B15/(2*B16+B15)</f>
        <v>0.2</v>
      </c>
      <c r="F48" s="65"/>
      <c r="G48" s="65"/>
      <c r="H48" s="116"/>
      <c r="I48" s="209" t="s">
        <v>148</v>
      </c>
      <c r="J48" s="210" t="s">
        <v>202</v>
      </c>
      <c r="K48" s="210"/>
      <c r="L48" s="210"/>
      <c r="M48" s="210"/>
      <c r="N48" s="65"/>
      <c r="O48" s="65"/>
      <c r="P48" s="116"/>
    </row>
    <row r="49" spans="1:25" ht="21.95" customHeight="1">
      <c r="A49" s="120" t="s">
        <v>147</v>
      </c>
      <c r="B49" s="65"/>
      <c r="C49" s="65"/>
      <c r="D49" s="65"/>
      <c r="E49" s="65"/>
      <c r="F49" s="65"/>
      <c r="G49" s="65"/>
      <c r="H49" s="116"/>
      <c r="I49" s="209"/>
      <c r="J49" s="211" t="s">
        <v>192</v>
      </c>
      <c r="K49" s="211"/>
      <c r="L49" s="211"/>
      <c r="M49" s="211"/>
      <c r="N49" s="65"/>
      <c r="O49" s="65"/>
      <c r="P49" s="116"/>
    </row>
    <row r="50" spans="1:25" ht="21.95" customHeight="1">
      <c r="A50" s="209" t="s">
        <v>148</v>
      </c>
      <c r="B50" s="210" t="s">
        <v>201</v>
      </c>
      <c r="C50" s="210"/>
      <c r="D50" s="210"/>
      <c r="E50" s="210"/>
      <c r="F50" s="65"/>
      <c r="G50" s="65"/>
      <c r="H50" s="116"/>
      <c r="I50" s="209" t="s">
        <v>148</v>
      </c>
      <c r="J50" s="147" t="s">
        <v>150</v>
      </c>
      <c r="K50" s="208">
        <f>M44*E9*K28*P42*M46*(J19-0.5*M37)</f>
        <v>142792.84885158882</v>
      </c>
      <c r="L50" s="208"/>
      <c r="M50" s="143" t="s">
        <v>124</v>
      </c>
      <c r="N50" s="208">
        <f>M44*E9*K28*(J19-0.5*M37)</f>
        <v>532309.34164047195</v>
      </c>
      <c r="O50" s="208"/>
      <c r="P50" s="116"/>
      <c r="R50" s="207" t="s">
        <v>209</v>
      </c>
      <c r="S50" s="207"/>
      <c r="T50" s="207"/>
      <c r="U50" s="207"/>
      <c r="V50" s="207"/>
      <c r="W50" s="207"/>
      <c r="X50" s="207"/>
      <c r="Y50" s="207"/>
    </row>
    <row r="51" spans="1:25" ht="21.95" customHeight="1">
      <c r="A51" s="209"/>
      <c r="B51" s="211" t="s">
        <v>149</v>
      </c>
      <c r="C51" s="211"/>
      <c r="D51" s="211"/>
      <c r="E51" s="211"/>
      <c r="F51" s="65"/>
      <c r="G51" s="65"/>
      <c r="H51" s="116"/>
      <c r="I51" s="209"/>
      <c r="J51" s="175"/>
      <c r="K51" s="175"/>
      <c r="L51" s="119">
        <f>J23</f>
        <v>1.45</v>
      </c>
      <c r="M51" s="180" t="s">
        <v>125</v>
      </c>
      <c r="N51" s="113"/>
      <c r="O51" s="175"/>
      <c r="P51" s="116"/>
      <c r="R51" s="142" t="s">
        <v>134</v>
      </c>
      <c r="S51" s="142" t="s">
        <v>36</v>
      </c>
      <c r="T51" s="142" t="s">
        <v>35</v>
      </c>
      <c r="U51" s="142" t="s">
        <v>136</v>
      </c>
      <c r="V51" s="142" t="s">
        <v>137</v>
      </c>
      <c r="W51" s="142" t="s">
        <v>138</v>
      </c>
      <c r="X51" s="142" t="s">
        <v>207</v>
      </c>
      <c r="Y51" s="142" t="s">
        <v>208</v>
      </c>
    </row>
    <row r="52" spans="1:25" ht="21.95" customHeight="1">
      <c r="A52" s="209" t="s">
        <v>148</v>
      </c>
      <c r="B52" s="147" t="s">
        <v>150</v>
      </c>
      <c r="C52" s="208">
        <f>E46*E9*C28*H44*E48*(B19-0.5*E37)</f>
        <v>60655.178161808646</v>
      </c>
      <c r="D52" s="208"/>
      <c r="E52" s="143" t="s">
        <v>124</v>
      </c>
      <c r="F52" s="208">
        <f>E46*E9*C28*(B19-0.5*E37)</f>
        <v>1888160.0166605373</v>
      </c>
      <c r="G52" s="208"/>
      <c r="H52" s="116"/>
      <c r="I52" s="118" t="s">
        <v>142</v>
      </c>
      <c r="J52" s="65"/>
      <c r="K52" s="65"/>
      <c r="L52" s="65"/>
      <c r="M52" s="65"/>
      <c r="N52" s="65"/>
      <c r="O52" s="65"/>
      <c r="P52" s="116"/>
      <c r="R52" s="142" t="s">
        <v>135</v>
      </c>
      <c r="S52" s="144">
        <f>A55</f>
        <v>60655.178161808646</v>
      </c>
      <c r="T52" s="144">
        <f>C55</f>
        <v>485241.42529446917</v>
      </c>
      <c r="U52" s="144">
        <f>-F55</f>
        <v>-1888160.0166605373</v>
      </c>
      <c r="V52" s="142">
        <f>T52^2-4*S52*U52</f>
        <v>693565969656.00183</v>
      </c>
      <c r="W52" s="142" t="str">
        <f>IF(V52&gt;0,"2 nghiệm",IF(V52=0,"Nghiệm kép","Vô nghiệm"))</f>
        <v>2 nghiệm</v>
      </c>
      <c r="X52" s="142">
        <f>IF(W52="2 nghiệm",(-T52-SQRT(V52))/(2*S52),IF(W52="Nghiệm kép",-T52/(2*S52),""))</f>
        <v>-10.86508643534121</v>
      </c>
      <c r="Y52" s="142">
        <f>IF(W52="2 nghiệm",(-T52+SQRT(V52))/(2*S52),"")</f>
        <v>2.86508643534121</v>
      </c>
    </row>
    <row r="53" spans="1:25" ht="21.95" customHeight="1">
      <c r="A53" s="209"/>
      <c r="B53" s="175"/>
      <c r="C53" s="175"/>
      <c r="D53" s="136" t="s">
        <v>125</v>
      </c>
      <c r="E53" s="168" t="s">
        <v>124</v>
      </c>
      <c r="F53" s="113">
        <f>B22</f>
        <v>4</v>
      </c>
      <c r="G53" s="175"/>
      <c r="H53" s="116"/>
      <c r="I53" s="201">
        <f>K50</f>
        <v>142792.84885158882</v>
      </c>
      <c r="J53" s="202"/>
      <c r="K53" s="177" t="s">
        <v>193</v>
      </c>
      <c r="L53" s="203">
        <f>N50</f>
        <v>532309.34164047195</v>
      </c>
      <c r="M53" s="203"/>
      <c r="N53" s="164" t="s">
        <v>144</v>
      </c>
      <c r="O53" s="181"/>
      <c r="P53" s="178"/>
    </row>
    <row r="54" spans="1:25" ht="21.95" customHeight="1">
      <c r="A54" s="118" t="s">
        <v>142</v>
      </c>
      <c r="B54" s="65"/>
      <c r="C54" s="65"/>
      <c r="D54" s="65"/>
      <c r="E54" s="65"/>
      <c r="F54" s="65"/>
      <c r="G54" s="65"/>
      <c r="H54" s="116"/>
      <c r="I54" s="118" t="s">
        <v>145</v>
      </c>
      <c r="J54" s="65"/>
      <c r="K54" s="65"/>
      <c r="L54" s="119" t="s">
        <v>146</v>
      </c>
      <c r="M54" s="145">
        <f>IF(AND(W56="2 nghiệm",X56&lt;0),Y56,IF(AND(W56="2 nghiệm",Y56&lt;0),X56,IF(W56="Nghiệm kép",X56,"False")))</f>
        <v>1.9307623202390556</v>
      </c>
      <c r="N54" s="65"/>
      <c r="O54" s="65"/>
      <c r="P54" s="116"/>
      <c r="R54" s="204" t="s">
        <v>209</v>
      </c>
      <c r="S54" s="205"/>
      <c r="T54" s="205"/>
      <c r="U54" s="205"/>
      <c r="V54" s="205"/>
      <c r="W54" s="205"/>
      <c r="X54" s="205"/>
      <c r="Y54" s="206"/>
    </row>
    <row r="55" spans="1:25" ht="21.95" customHeight="1">
      <c r="A55" s="176">
        <f>C52</f>
        <v>60655.178161808646</v>
      </c>
      <c r="B55" s="177" t="s">
        <v>151</v>
      </c>
      <c r="C55" s="202">
        <f>2*C52*F53</f>
        <v>485241.42529446917</v>
      </c>
      <c r="D55" s="202"/>
      <c r="E55" s="177" t="s">
        <v>143</v>
      </c>
      <c r="F55" s="203">
        <f>F52</f>
        <v>1888160.0166605373</v>
      </c>
      <c r="G55" s="203"/>
      <c r="H55" s="178" t="s">
        <v>144</v>
      </c>
      <c r="I55" s="120" t="s">
        <v>91</v>
      </c>
      <c r="J55" s="65"/>
      <c r="K55" s="65"/>
      <c r="L55" s="65"/>
      <c r="M55" s="65"/>
      <c r="N55" s="65"/>
      <c r="O55" s="65"/>
      <c r="P55" s="116"/>
      <c r="R55" s="142" t="s">
        <v>134</v>
      </c>
      <c r="S55" s="142" t="s">
        <v>36</v>
      </c>
      <c r="T55" s="142" t="s">
        <v>35</v>
      </c>
      <c r="U55" s="142" t="s">
        <v>136</v>
      </c>
      <c r="V55" s="142" t="s">
        <v>137</v>
      </c>
      <c r="W55" s="142" t="s">
        <v>138</v>
      </c>
      <c r="X55" s="142" t="s">
        <v>207</v>
      </c>
      <c r="Y55" s="142" t="s">
        <v>208</v>
      </c>
    </row>
    <row r="56" spans="1:25" ht="21.95" customHeight="1">
      <c r="A56" s="118" t="s">
        <v>145</v>
      </c>
      <c r="B56" s="65"/>
      <c r="C56" s="65"/>
      <c r="D56" s="119" t="s">
        <v>146</v>
      </c>
      <c r="E56" s="145">
        <f>IF(AND(W52="2 nghiệm",X52&lt;0),Y52,IF(AND(W52="2 nghiệm",Y52&lt;0),X52,IF(W52="Nghiệm kép",X52,"False")))</f>
        <v>2.86508643534121</v>
      </c>
      <c r="F56" s="65"/>
      <c r="G56" s="65"/>
      <c r="H56" s="116"/>
      <c r="I56" s="118"/>
      <c r="J56" s="65"/>
      <c r="K56" s="65"/>
      <c r="L56" s="119" t="s">
        <v>194</v>
      </c>
      <c r="M56" s="162">
        <f>MIN(M54*J15,2*J16+J15,J15*SQRT(2/M46))</f>
        <v>115.84573921434334</v>
      </c>
      <c r="N56" s="112" t="s">
        <v>37</v>
      </c>
      <c r="O56" s="65"/>
      <c r="P56" s="116"/>
      <c r="R56" s="142" t="s">
        <v>135</v>
      </c>
      <c r="S56" s="144">
        <f>K50</f>
        <v>142792.84885158882</v>
      </c>
      <c r="T56" s="144">
        <v>0</v>
      </c>
      <c r="U56" s="144">
        <f>-L53</f>
        <v>-532309.34164047195</v>
      </c>
      <c r="V56" s="142">
        <f>T56^2-4*S56*U56</f>
        <v>304039869452.62665</v>
      </c>
      <c r="W56" s="142" t="str">
        <f>IF(V56&gt;0,"2 nghiệm",IF(V56=0,"Nghiệm kép","Vô nghiệm"))</f>
        <v>2 nghiệm</v>
      </c>
      <c r="X56" s="142">
        <f>IF(W56="2 nghiệm",(-T56-SQRT(V56))/(2*S56),IF(W56="Nghiệm kép",-T56/(2*S56),""))</f>
        <v>-1.9307623202390556</v>
      </c>
      <c r="Y56" s="142">
        <f>IF(W56="2 nghiệm",(-T56+SQRT(V56))/(2*S56),"")</f>
        <v>1.9307623202390556</v>
      </c>
    </row>
    <row r="57" spans="1:25" ht="21.95" customHeight="1">
      <c r="A57" s="120" t="s">
        <v>91</v>
      </c>
      <c r="B57" s="65"/>
      <c r="C57" s="65"/>
      <c r="D57" s="65"/>
      <c r="E57" s="65"/>
      <c r="F57" s="65"/>
      <c r="G57" s="65"/>
      <c r="H57" s="116"/>
      <c r="I57" s="120" t="s">
        <v>92</v>
      </c>
      <c r="J57" s="65"/>
      <c r="K57" s="65"/>
      <c r="L57" s="65"/>
      <c r="M57" s="65"/>
      <c r="N57" s="65"/>
      <c r="O57" s="65"/>
      <c r="P57" s="116"/>
    </row>
    <row r="58" spans="1:25" ht="21.95" customHeight="1">
      <c r="A58" s="118"/>
      <c r="B58" s="65"/>
      <c r="C58" s="65"/>
      <c r="D58" s="119" t="s">
        <v>194</v>
      </c>
      <c r="E58" s="162">
        <f>MIN(E56*B15,2*B16+B15,B15*SQRT(2/E48))</f>
        <v>85.952593060236296</v>
      </c>
      <c r="F58" s="112" t="s">
        <v>37</v>
      </c>
      <c r="G58" s="65"/>
      <c r="H58" s="116"/>
      <c r="I58" s="118"/>
      <c r="J58" s="65"/>
      <c r="K58" s="65"/>
      <c r="L58" s="119" t="s">
        <v>93</v>
      </c>
      <c r="M58" s="113">
        <f>M46*M56</f>
        <v>57.92286960717167</v>
      </c>
      <c r="N58" s="112" t="s">
        <v>37</v>
      </c>
      <c r="O58" s="65"/>
      <c r="P58" s="116"/>
      <c r="R58" s="207" t="s">
        <v>210</v>
      </c>
      <c r="S58" s="207"/>
      <c r="T58" s="207" t="s">
        <v>211</v>
      </c>
      <c r="U58" s="207"/>
    </row>
    <row r="59" spans="1:25" ht="21.95" customHeight="1">
      <c r="A59" s="120" t="s">
        <v>92</v>
      </c>
      <c r="B59" s="65"/>
      <c r="C59" s="65"/>
      <c r="D59" s="65"/>
      <c r="E59" s="65"/>
      <c r="F59" s="65"/>
      <c r="G59" s="65"/>
      <c r="H59" s="116"/>
      <c r="I59" s="120" t="s">
        <v>94</v>
      </c>
      <c r="J59" s="65"/>
      <c r="K59" s="65"/>
      <c r="L59" s="65"/>
      <c r="M59" s="65"/>
      <c r="N59" s="65"/>
      <c r="O59" s="65"/>
      <c r="P59" s="116"/>
      <c r="R59" s="125" t="s">
        <v>108</v>
      </c>
      <c r="S59" s="125" t="s">
        <v>109</v>
      </c>
      <c r="T59" s="141" t="s">
        <v>108</v>
      </c>
      <c r="U59" s="141" t="s">
        <v>109</v>
      </c>
    </row>
    <row r="60" spans="1:25" ht="21.95" customHeight="1">
      <c r="A60" s="118"/>
      <c r="B60" s="65"/>
      <c r="C60" s="65"/>
      <c r="D60" s="119" t="s">
        <v>93</v>
      </c>
      <c r="E60" s="113">
        <f>E48*E58</f>
        <v>17.19051861204726</v>
      </c>
      <c r="F60" s="112" t="s">
        <v>37</v>
      </c>
      <c r="G60" s="65"/>
      <c r="H60" s="116"/>
      <c r="I60" s="118"/>
      <c r="J60" s="65"/>
      <c r="K60" s="65"/>
      <c r="L60" s="119" t="s">
        <v>95</v>
      </c>
      <c r="M60" s="113">
        <f>M39*M58/100</f>
        <v>110.48182313415751</v>
      </c>
      <c r="N60" s="112" t="s">
        <v>82</v>
      </c>
      <c r="O60" s="65"/>
      <c r="P60" s="116"/>
      <c r="R60" s="141">
        <f>2*K9+K8</f>
        <v>150</v>
      </c>
      <c r="S60" s="126">
        <f>K8*SQRT(2/E48)</f>
        <v>94.868329805051388</v>
      </c>
      <c r="T60" s="141">
        <f>2*K8+K9</f>
        <v>120</v>
      </c>
      <c r="U60" s="126">
        <f>K9*SQRT(2/M46)</f>
        <v>120</v>
      </c>
    </row>
    <row r="61" spans="1:25" ht="21.95" customHeight="1">
      <c r="A61" s="120" t="s">
        <v>94</v>
      </c>
      <c r="B61" s="65"/>
      <c r="C61" s="65"/>
      <c r="D61" s="65"/>
      <c r="E61" s="65"/>
      <c r="F61" s="65"/>
      <c r="G61" s="65"/>
      <c r="H61" s="116"/>
      <c r="I61" s="120" t="s">
        <v>97</v>
      </c>
      <c r="J61" s="65"/>
      <c r="K61" s="65"/>
      <c r="L61" s="65"/>
      <c r="M61" s="65"/>
      <c r="N61" s="65"/>
      <c r="O61" s="65"/>
      <c r="P61" s="116"/>
    </row>
    <row r="62" spans="1:25" ht="21.95" customHeight="1">
      <c r="A62" s="118"/>
      <c r="B62" s="65"/>
      <c r="C62" s="65"/>
      <c r="D62" s="119" t="s">
        <v>95</v>
      </c>
      <c r="E62" s="113">
        <f>E41*E60/100</f>
        <v>32.789118525396667</v>
      </c>
      <c r="F62" s="112" t="s">
        <v>82</v>
      </c>
      <c r="G62" s="65"/>
      <c r="H62" s="116"/>
      <c r="I62" s="118" t="s">
        <v>96</v>
      </c>
      <c r="J62" s="65"/>
      <c r="K62" s="65"/>
      <c r="L62" s="65"/>
      <c r="M62" s="65"/>
      <c r="N62" s="65"/>
      <c r="O62" s="65"/>
      <c r="P62" s="116"/>
      <c r="R62" s="142" t="s">
        <v>212</v>
      </c>
      <c r="S62" s="142" t="s">
        <v>213</v>
      </c>
    </row>
    <row r="63" spans="1:25" ht="21.95" customHeight="1">
      <c r="A63" s="120" t="s">
        <v>97</v>
      </c>
      <c r="B63" s="65"/>
      <c r="C63" s="65"/>
      <c r="D63" s="65"/>
      <c r="E63" s="65"/>
      <c r="F63" s="65"/>
      <c r="G63" s="65"/>
      <c r="H63" s="116"/>
      <c r="I63" s="118"/>
      <c r="J63" s="65"/>
      <c r="K63" s="65"/>
      <c r="L63" s="119" t="s">
        <v>98</v>
      </c>
      <c r="M63" s="113">
        <f>0.9*M60*J16/100</f>
        <v>29.830092246222524</v>
      </c>
      <c r="N63" s="112" t="s">
        <v>44</v>
      </c>
      <c r="O63" s="65"/>
      <c r="P63" s="116"/>
      <c r="R63" s="125">
        <f>((E56^2*C52+F52)/(E56+F53))/10^4</f>
        <v>34.756465636920467</v>
      </c>
      <c r="S63" s="125">
        <f>((M54^2*K50+N50)/(M54*L51))/10^4</f>
        <v>38.027455470653585</v>
      </c>
    </row>
    <row r="64" spans="1:25" ht="21.95" customHeight="1">
      <c r="A64" s="118" t="s">
        <v>96</v>
      </c>
      <c r="B64" s="65"/>
      <c r="C64" s="65"/>
      <c r="D64" s="65"/>
      <c r="E64" s="65"/>
      <c r="F64" s="65"/>
      <c r="G64" s="65"/>
      <c r="H64" s="116"/>
      <c r="I64" s="120" t="s">
        <v>101</v>
      </c>
      <c r="J64" s="65"/>
      <c r="K64" s="65"/>
      <c r="L64" s="65"/>
      <c r="M64" s="65"/>
      <c r="N64" s="65"/>
      <c r="O64" s="65"/>
      <c r="P64" s="116"/>
    </row>
    <row r="65" spans="1:16" ht="21.95" customHeight="1">
      <c r="A65" s="118"/>
      <c r="B65" s="65"/>
      <c r="C65" s="65"/>
      <c r="D65" s="119" t="s">
        <v>98</v>
      </c>
      <c r="E65" s="113">
        <f>0.9*E62*B16/100</f>
        <v>17.706124003714201</v>
      </c>
      <c r="F65" s="112" t="s">
        <v>44</v>
      </c>
      <c r="G65" s="65"/>
      <c r="H65" s="116"/>
      <c r="I65" s="118"/>
      <c r="J65" s="65"/>
      <c r="K65" s="65"/>
      <c r="L65" s="119" t="s">
        <v>203</v>
      </c>
      <c r="M65" s="113">
        <f>M44*E9*K28/100</f>
        <v>213.31414117874698</v>
      </c>
      <c r="N65" s="112" t="s">
        <v>82</v>
      </c>
      <c r="O65" s="65"/>
      <c r="P65" s="116"/>
    </row>
    <row r="66" spans="1:16" ht="21.95" customHeight="1">
      <c r="A66" s="120" t="s">
        <v>101</v>
      </c>
      <c r="B66" s="65"/>
      <c r="C66" s="65"/>
      <c r="D66" s="65"/>
      <c r="E66" s="65"/>
      <c r="F66" s="65"/>
      <c r="G66" s="65"/>
      <c r="H66" s="116"/>
      <c r="I66" s="120" t="s">
        <v>99</v>
      </c>
      <c r="J66" s="65"/>
      <c r="K66" s="65"/>
      <c r="L66" s="65"/>
      <c r="M66" s="65"/>
      <c r="N66" s="65"/>
      <c r="O66" s="65"/>
      <c r="P66" s="116"/>
    </row>
    <row r="67" spans="1:16" ht="21.95" customHeight="1">
      <c r="A67" s="118"/>
      <c r="B67" s="65"/>
      <c r="C67" s="65"/>
      <c r="D67" s="119" t="s">
        <v>203</v>
      </c>
      <c r="E67" s="113">
        <f>E46*E9*C28/100</f>
        <v>356.25660691708254</v>
      </c>
      <c r="F67" s="112" t="s">
        <v>82</v>
      </c>
      <c r="G67" s="65"/>
      <c r="H67" s="116"/>
      <c r="I67" s="118" t="s">
        <v>100</v>
      </c>
      <c r="J67" s="65"/>
      <c r="K67" s="65"/>
      <c r="L67" s="65"/>
      <c r="M67" s="65"/>
      <c r="N67" s="65"/>
      <c r="O67" s="65"/>
      <c r="P67" s="116"/>
    </row>
    <row r="68" spans="1:16" ht="21.95" customHeight="1">
      <c r="A68" s="120" t="s">
        <v>99</v>
      </c>
      <c r="B68" s="65"/>
      <c r="C68" s="65"/>
      <c r="D68" s="65"/>
      <c r="E68" s="65"/>
      <c r="F68" s="65"/>
      <c r="G68" s="65"/>
      <c r="H68" s="116"/>
      <c r="I68" s="118"/>
      <c r="J68" s="65"/>
      <c r="K68" s="65"/>
      <c r="L68" s="119" t="s">
        <v>102</v>
      </c>
      <c r="M68" s="113">
        <f>0.9*M65*(J15/M56)*(J16/100)</f>
        <v>29.830092246222538</v>
      </c>
      <c r="N68" s="112" t="s">
        <v>44</v>
      </c>
      <c r="O68" s="65"/>
      <c r="P68" s="116"/>
    </row>
    <row r="69" spans="1:16" ht="21.95" customHeight="1">
      <c r="A69" s="118" t="s">
        <v>100</v>
      </c>
      <c r="B69" s="65"/>
      <c r="C69" s="65"/>
      <c r="D69" s="65"/>
      <c r="E69" s="65"/>
      <c r="F69" s="65"/>
      <c r="G69" s="65"/>
      <c r="H69" s="116"/>
      <c r="I69" s="117" t="s">
        <v>156</v>
      </c>
      <c r="J69" s="65"/>
      <c r="K69" s="65"/>
      <c r="L69" s="65"/>
      <c r="M69" s="65"/>
      <c r="N69" s="65"/>
      <c r="O69" s="65"/>
      <c r="P69" s="116"/>
    </row>
    <row r="70" spans="1:16" ht="21.95" customHeight="1">
      <c r="A70" s="118"/>
      <c r="B70" s="65"/>
      <c r="C70" s="65"/>
      <c r="D70" s="119" t="s">
        <v>102</v>
      </c>
      <c r="E70" s="113">
        <f>0.9*E67*(B15/E58)*(B16/100)</f>
        <v>67.145816392207294</v>
      </c>
      <c r="F70" s="112" t="s">
        <v>44</v>
      </c>
      <c r="G70" s="65"/>
      <c r="H70" s="116"/>
      <c r="I70" s="118"/>
      <c r="J70" s="65"/>
      <c r="K70" s="65"/>
      <c r="L70" s="119" t="s">
        <v>103</v>
      </c>
      <c r="M70" s="113">
        <f>M63+M68</f>
        <v>59.660184492445062</v>
      </c>
      <c r="N70" s="112" t="s">
        <v>44</v>
      </c>
      <c r="O70" s="65"/>
      <c r="P70" s="116"/>
    </row>
    <row r="71" spans="1:16" ht="21.95" customHeight="1">
      <c r="A71" s="117" t="s">
        <v>156</v>
      </c>
      <c r="B71" s="65"/>
      <c r="C71" s="65"/>
      <c r="D71" s="65"/>
      <c r="E71" s="65"/>
      <c r="F71" s="65"/>
      <c r="G71" s="65"/>
      <c r="H71" s="116"/>
      <c r="I71" s="120" t="s">
        <v>116</v>
      </c>
      <c r="J71" s="65"/>
      <c r="K71" s="65"/>
      <c r="L71" s="65"/>
      <c r="M71" s="65"/>
      <c r="N71" s="65"/>
      <c r="O71" s="65"/>
      <c r="P71" s="116"/>
    </row>
    <row r="72" spans="1:16" ht="21.95" customHeight="1">
      <c r="A72" s="118"/>
      <c r="B72" s="65"/>
      <c r="C72" s="65"/>
      <c r="D72" s="119" t="s">
        <v>103</v>
      </c>
      <c r="E72" s="113">
        <f>E65+E70</f>
        <v>84.851940395921503</v>
      </c>
      <c r="F72" s="112" t="s">
        <v>82</v>
      </c>
      <c r="G72" s="65"/>
      <c r="H72" s="116"/>
      <c r="I72" s="120"/>
      <c r="J72" s="65"/>
      <c r="K72" s="65"/>
      <c r="L72" s="119" t="s">
        <v>117</v>
      </c>
      <c r="M72" s="113">
        <f>E10*P28/(P26/10)</f>
        <v>381.47910793590341</v>
      </c>
      <c r="N72" s="112" t="s">
        <v>88</v>
      </c>
      <c r="O72" s="65"/>
      <c r="P72" s="116"/>
    </row>
    <row r="73" spans="1:16" ht="21.95" customHeight="1">
      <c r="A73" s="157"/>
      <c r="B73" s="123"/>
      <c r="C73" s="123"/>
      <c r="D73" s="123"/>
      <c r="E73" s="123"/>
      <c r="F73" s="123"/>
      <c r="G73" s="123"/>
      <c r="H73" s="124"/>
      <c r="I73" s="157"/>
      <c r="J73" s="123"/>
      <c r="K73" s="123"/>
      <c r="L73" s="123"/>
      <c r="M73" s="123"/>
      <c r="N73" s="123"/>
      <c r="O73" s="123"/>
      <c r="P73" s="124"/>
    </row>
    <row r="74" spans="1:16" ht="21.95" customHeight="1">
      <c r="A74" s="182" t="s">
        <v>196</v>
      </c>
      <c r="B74" s="96"/>
      <c r="C74" s="96"/>
      <c r="D74" s="96"/>
      <c r="E74" s="96"/>
      <c r="F74" s="96"/>
      <c r="G74" s="96"/>
      <c r="H74" s="109"/>
      <c r="I74" s="164" t="s">
        <v>115</v>
      </c>
      <c r="J74" s="65"/>
      <c r="K74" s="65"/>
      <c r="L74" s="119"/>
      <c r="M74" s="65"/>
      <c r="N74" s="112"/>
    </row>
    <row r="75" spans="1:16" ht="21.95" customHeight="1">
      <c r="A75" s="122"/>
      <c r="B75" s="65"/>
      <c r="C75" s="65"/>
      <c r="D75" s="65"/>
      <c r="E75" s="65"/>
      <c r="F75" s="65"/>
      <c r="G75" s="65"/>
      <c r="H75" s="116"/>
      <c r="I75" s="164"/>
      <c r="J75" s="65"/>
      <c r="K75" s="65"/>
      <c r="L75" s="65"/>
      <c r="M75" s="65"/>
      <c r="N75" s="65"/>
    </row>
    <row r="76" spans="1:16" ht="21.95" customHeight="1">
      <c r="A76" s="110" t="s">
        <v>85</v>
      </c>
      <c r="B76" s="111">
        <f>H9</f>
        <v>40</v>
      </c>
      <c r="C76" s="112" t="s">
        <v>44</v>
      </c>
      <c r="D76" s="136" t="str">
        <f>IF(B76&lt;G76,"&lt;",IF(B76=G76,"=","&gt;"))</f>
        <v>&lt;</v>
      </c>
      <c r="E76" s="65"/>
      <c r="F76" s="65"/>
      <c r="G76" s="113">
        <f>E72*SQRT(1-(ABS(H10)/B39)^2)</f>
        <v>45.054486211608079</v>
      </c>
      <c r="H76" s="114" t="s">
        <v>44</v>
      </c>
      <c r="I76" s="164"/>
      <c r="J76" s="65"/>
      <c r="K76" s="65"/>
      <c r="L76" s="65"/>
      <c r="M76" s="113">
        <f>IF(SQRT(1.5*B10*K8*K11^2/M72)&lt;K11,K11,IF(SQRT(1.5*B10*K8*K11^2/M72)&gt;2*K11,2*K11,SQRT(1.5*B10*K8*K11^2/M72)))</f>
        <v>58.21576117061057</v>
      </c>
      <c r="N76" s="112" t="s">
        <v>37</v>
      </c>
    </row>
    <row r="77" spans="1:16" ht="21.95" customHeight="1">
      <c r="A77" s="110"/>
      <c r="B77" s="111"/>
      <c r="C77" s="112"/>
      <c r="D77" s="136"/>
      <c r="E77" s="65"/>
      <c r="F77" s="65"/>
      <c r="G77" s="113"/>
      <c r="H77" s="114"/>
      <c r="I77" s="164"/>
      <c r="J77" s="65"/>
      <c r="K77" s="65"/>
      <c r="L77" s="65"/>
      <c r="M77" s="65"/>
      <c r="N77" s="65"/>
    </row>
    <row r="78" spans="1:16" ht="21.95" customHeight="1">
      <c r="A78" s="128" t="s">
        <v>80</v>
      </c>
      <c r="B78" s="115" t="str">
        <f>IF(D76="&gt;","Không đảm bảo độ bền các tiết diện không gian.","Đảm bảo độ bền các tiết diện không gian.")</f>
        <v>Đảm bảo độ bền các tiết diện không gian.</v>
      </c>
      <c r="C78" s="112"/>
      <c r="D78" s="136"/>
      <c r="E78" s="65"/>
      <c r="F78" s="65"/>
      <c r="G78" s="113"/>
      <c r="H78" s="114"/>
      <c r="I78" s="164" t="s">
        <v>114</v>
      </c>
      <c r="J78" s="65"/>
      <c r="K78" s="65"/>
      <c r="L78" s="65"/>
      <c r="M78" s="65"/>
      <c r="N78" s="65"/>
    </row>
    <row r="79" spans="1:16" ht="21.95" customHeight="1">
      <c r="A79" s="118"/>
      <c r="B79" s="65"/>
      <c r="C79" s="65"/>
      <c r="D79" s="65"/>
      <c r="E79" s="65"/>
      <c r="F79" s="65"/>
      <c r="G79" s="65"/>
      <c r="H79" s="116"/>
      <c r="I79" s="65"/>
      <c r="J79" s="65"/>
      <c r="K79" s="65"/>
      <c r="L79" s="119" t="s">
        <v>118</v>
      </c>
      <c r="M79" s="113">
        <f>IF((1.5*B10*K8*K11^2/M76/100)&lt;(0.5*B10*K8*K11/100),(0.5*B10*K8*K11/100),IF((1.5*B10*K8*K11^2/M76/100)&gt;(2.5*B10*K8*K11/100),(2.5*B10*K8*K11/100),(1.5*B10*K8*K11^2/M76/100)))</f>
        <v>222.08096639174124</v>
      </c>
      <c r="N79" s="112" t="s">
        <v>82</v>
      </c>
    </row>
    <row r="80" spans="1:16" ht="21.95" customHeight="1">
      <c r="A80" s="118"/>
      <c r="B80" s="65"/>
      <c r="C80" s="65"/>
      <c r="D80" s="65"/>
      <c r="E80" s="65"/>
      <c r="F80" s="65"/>
      <c r="G80" s="65"/>
      <c r="H80" s="116"/>
      <c r="I80" s="164" t="s">
        <v>119</v>
      </c>
      <c r="J80" s="65"/>
      <c r="K80" s="65"/>
      <c r="L80" s="65"/>
      <c r="M80" s="65"/>
      <c r="N80" s="65"/>
    </row>
    <row r="81" spans="1:17" ht="21.95" customHeight="1">
      <c r="A81" s="118"/>
      <c r="B81" s="65"/>
      <c r="C81" s="65"/>
      <c r="D81" s="65"/>
      <c r="E81" s="65"/>
      <c r="F81" s="65"/>
      <c r="G81" s="65"/>
      <c r="H81" s="116"/>
      <c r="I81" s="65"/>
      <c r="J81" s="65"/>
      <c r="K81" s="65"/>
      <c r="L81" s="119" t="s">
        <v>120</v>
      </c>
      <c r="M81" s="113">
        <f>0.75*M72*M76/100</f>
        <v>166.56072479380592</v>
      </c>
      <c r="N81" s="112" t="s">
        <v>82</v>
      </c>
    </row>
    <row r="82" spans="1:17" ht="21.95" customHeight="1">
      <c r="A82" s="118"/>
      <c r="B82" s="65"/>
      <c r="C82" s="65"/>
      <c r="D82" s="65"/>
      <c r="E82" s="65"/>
      <c r="F82" s="65"/>
      <c r="G82" s="65"/>
      <c r="H82" s="116"/>
      <c r="I82" s="167" t="s">
        <v>157</v>
      </c>
      <c r="J82" s="65"/>
      <c r="K82" s="65"/>
      <c r="L82" s="65"/>
      <c r="M82" s="65"/>
      <c r="N82" s="65"/>
    </row>
    <row r="83" spans="1:17" ht="21.95" customHeight="1">
      <c r="A83" s="118"/>
      <c r="B83" s="65"/>
      <c r="C83" s="65"/>
      <c r="D83" s="65"/>
      <c r="E83" s="65"/>
      <c r="F83" s="65"/>
      <c r="G83" s="65"/>
      <c r="H83" s="116"/>
      <c r="I83" s="65"/>
      <c r="J83" s="65"/>
      <c r="K83" s="65"/>
      <c r="L83" s="119" t="s">
        <v>113</v>
      </c>
      <c r="M83" s="113">
        <f>M79+M81</f>
        <v>388.64169118554719</v>
      </c>
      <c r="N83" s="112" t="s">
        <v>82</v>
      </c>
    </row>
    <row r="84" spans="1:17" ht="21.95" customHeight="1">
      <c r="A84" s="118"/>
      <c r="B84" s="65"/>
      <c r="C84" s="65"/>
      <c r="D84" s="65"/>
      <c r="E84" s="65"/>
      <c r="F84" s="65"/>
      <c r="G84" s="65"/>
      <c r="H84" s="116"/>
      <c r="I84" s="167" t="s">
        <v>196</v>
      </c>
      <c r="J84" s="65"/>
      <c r="K84" s="65"/>
      <c r="L84" s="65"/>
      <c r="M84" s="65"/>
      <c r="N84" s="65"/>
      <c r="O84" s="65"/>
      <c r="P84" s="116"/>
    </row>
    <row r="85" spans="1:17" ht="21.95" customHeight="1">
      <c r="A85" s="118"/>
      <c r="B85" s="65"/>
      <c r="C85" s="65"/>
      <c r="D85" s="65"/>
      <c r="E85" s="65"/>
      <c r="F85" s="65"/>
      <c r="G85" s="65"/>
      <c r="H85" s="116"/>
      <c r="I85" s="119" t="s">
        <v>85</v>
      </c>
      <c r="J85" s="111">
        <f>H9</f>
        <v>40</v>
      </c>
      <c r="K85" s="112" t="s">
        <v>44</v>
      </c>
      <c r="L85" s="127" t="str">
        <f>IF(J85&lt;O85,"&lt;",IF(J85=O85,"=","&gt;"))</f>
        <v>&lt;</v>
      </c>
      <c r="M85" s="133" t="s">
        <v>112</v>
      </c>
      <c r="N85" s="133"/>
      <c r="O85" s="113">
        <f>M70*(1-ABS(H11)/M83)</f>
        <v>41.239046715758576</v>
      </c>
      <c r="P85" s="114" t="s">
        <v>44</v>
      </c>
    </row>
    <row r="86" spans="1:17" ht="21.95" customHeight="1">
      <c r="A86" s="157"/>
      <c r="B86" s="123"/>
      <c r="C86" s="123"/>
      <c r="D86" s="123"/>
      <c r="E86" s="123"/>
      <c r="F86" s="123"/>
      <c r="G86" s="123"/>
      <c r="H86" s="124"/>
      <c r="I86" s="143" t="s">
        <v>80</v>
      </c>
      <c r="J86" s="130" t="str">
        <f>IF(L85="&gt;","Không đảm bảo độ bền các tiết diện không gian.","Đảm bảo độ bền các tiết diện không gian.")</f>
        <v>Đảm bảo độ bền các tiết diện không gian.</v>
      </c>
      <c r="K86" s="123"/>
      <c r="L86" s="123"/>
      <c r="M86" s="123"/>
      <c r="N86" s="123"/>
      <c r="O86" s="123"/>
      <c r="P86" s="124"/>
    </row>
    <row r="92" spans="1:17" ht="21.95" customHeight="1">
      <c r="Q92" s="65"/>
    </row>
    <row r="93" spans="1:17" ht="21.95" customHeight="1">
      <c r="Q93" s="65"/>
    </row>
    <row r="109" spans="1:8" ht="21.95" customHeight="1">
      <c r="A109" s="118"/>
      <c r="B109" s="65"/>
      <c r="C109" s="65"/>
      <c r="D109" s="65"/>
      <c r="E109" s="65"/>
      <c r="F109" s="65"/>
      <c r="G109" s="65"/>
      <c r="H109" s="65"/>
    </row>
    <row r="116" spans="15:16" ht="21.95" customHeight="1">
      <c r="O116" s="65"/>
      <c r="P116" s="116"/>
    </row>
    <row r="117" spans="15:16" ht="21.95" customHeight="1">
      <c r="O117" s="65"/>
      <c r="P117" s="116"/>
    </row>
  </sheetData>
  <mergeCells count="58">
    <mergeCell ref="C55:D55"/>
    <mergeCell ref="F55:G55"/>
    <mergeCell ref="A52:A53"/>
    <mergeCell ref="C52:D52"/>
    <mergeCell ref="F52:G52"/>
    <mergeCell ref="B50:E50"/>
    <mergeCell ref="B51:E51"/>
    <mergeCell ref="A50:A51"/>
    <mergeCell ref="O9:P9"/>
    <mergeCell ref="M8:O8"/>
    <mergeCell ref="M9:N9"/>
    <mergeCell ref="M34:N34"/>
    <mergeCell ref="A12:P12"/>
    <mergeCell ref="A13:H14"/>
    <mergeCell ref="I13:P14"/>
    <mergeCell ref="E30:F30"/>
    <mergeCell ref="A1:P2"/>
    <mergeCell ref="A3:P3"/>
    <mergeCell ref="A4:B4"/>
    <mergeCell ref="A5:B5"/>
    <mergeCell ref="A6:B6"/>
    <mergeCell ref="C4:P4"/>
    <mergeCell ref="C5:P5"/>
    <mergeCell ref="C6:P6"/>
    <mergeCell ref="J7:L7"/>
    <mergeCell ref="M7:P7"/>
    <mergeCell ref="B24:C24"/>
    <mergeCell ref="D24:E24"/>
    <mergeCell ref="N24:N28"/>
    <mergeCell ref="E8:F8"/>
    <mergeCell ref="A7:F7"/>
    <mergeCell ref="B8:C8"/>
    <mergeCell ref="G7:I8"/>
    <mergeCell ref="A29:H29"/>
    <mergeCell ref="I29:P29"/>
    <mergeCell ref="K15:P23"/>
    <mergeCell ref="C15:H23"/>
    <mergeCell ref="A36:H36"/>
    <mergeCell ref="I36:P36"/>
    <mergeCell ref="B20:B21"/>
    <mergeCell ref="J20:J21"/>
    <mergeCell ref="A24:A28"/>
    <mergeCell ref="F24:F28"/>
    <mergeCell ref="I24:I28"/>
    <mergeCell ref="J24:K24"/>
    <mergeCell ref="L24:M24"/>
    <mergeCell ref="N50:O50"/>
    <mergeCell ref="R50:Y50"/>
    <mergeCell ref="I48:I49"/>
    <mergeCell ref="J48:M48"/>
    <mergeCell ref="J49:M49"/>
    <mergeCell ref="I50:I51"/>
    <mergeCell ref="K50:L50"/>
    <mergeCell ref="I53:J53"/>
    <mergeCell ref="L53:M53"/>
    <mergeCell ref="R54:Y54"/>
    <mergeCell ref="R58:S58"/>
    <mergeCell ref="T58:U58"/>
  </mergeCells>
  <phoneticPr fontId="41" type="noConversion"/>
  <dataValidations disablePrompts="1" count="3">
    <dataValidation type="list" allowBlank="1" showInputMessage="1" showErrorMessage="1" sqref="AG4" xr:uid="{00000000-0002-0000-0100-000000000000}">
      <formula1>"Việt Nam,English"</formula1>
    </dataValidation>
    <dataValidation type="list" allowBlank="1" showInputMessage="1" showErrorMessage="1" sqref="Y6 P8" xr:uid="{9272A92F-4AB3-4B56-9328-F872F2E54671}">
      <formula1>"Ngắn hạn,Dài hạn"</formula1>
    </dataValidation>
    <dataValidation type="list" allowBlank="1" showInputMessage="1" showErrorMessage="1" sqref="Y7 O9" xr:uid="{8C504BB6-C452-4E93-8ABD-E68F97163E21}">
      <formula1>"RH &lt; 40%,40% ≤ RH ≤ 75%,RH &gt; 75%"</formula1>
    </dataValidation>
  </dataValidations>
  <printOptions horizontalCentered="1"/>
  <pageMargins left="0.7" right="0.2" top="0.3" bottom="0.3" header="0.3" footer="0.3"/>
  <pageSetup paperSize="9" scale="51" orientation="portrait" r:id="rId1"/>
  <rowBreaks count="1" manualBreakCount="1">
    <brk id="73" max="15" man="1"/>
  </rowBreaks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r:id="rId5">
            <anchor moveWithCells="1">
              <from>
                <xdr:col>4</xdr:col>
                <xdr:colOff>333375</xdr:colOff>
                <xdr:row>74</xdr:row>
                <xdr:rowOff>142875</xdr:rowOff>
              </from>
              <to>
                <xdr:col>5</xdr:col>
                <xdr:colOff>647700</xdr:colOff>
                <xdr:row>76</xdr:row>
                <xdr:rowOff>152400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1033" r:id="rId6">
          <objectPr defaultSize="0" r:id="rId7">
            <anchor moveWithCells="1">
              <from>
                <xdr:col>10</xdr:col>
                <xdr:colOff>152400</xdr:colOff>
                <xdr:row>74</xdr:row>
                <xdr:rowOff>180975</xdr:rowOff>
              </from>
              <to>
                <xdr:col>11</xdr:col>
                <xdr:colOff>685800</xdr:colOff>
                <xdr:row>76</xdr:row>
                <xdr:rowOff>133350</xdr:rowOff>
              </to>
            </anchor>
          </objectPr>
        </oleObject>
      </mc:Choice>
      <mc:Fallback>
        <oleObject progId="Equation.DSMT4" shapeId="1033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TinhToan</vt:lpstr>
      <vt:lpstr>TinhToan!Print_Area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APC</dc:creator>
  <cp:lastModifiedBy>Windows User</cp:lastModifiedBy>
  <cp:lastPrinted>2020-06-23T09:06:08Z</cp:lastPrinted>
  <dcterms:created xsi:type="dcterms:W3CDTF">2016-07-27T06:33:46Z</dcterms:created>
  <dcterms:modified xsi:type="dcterms:W3CDTF">2020-06-24T06:42:22Z</dcterms:modified>
</cp:coreProperties>
</file>